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G:\Unidades compartidas\USBLVG\Univ Libre\2024 sem 2 Conciliacion contable fiscal\"/>
    </mc:Choice>
  </mc:AlternateContent>
  <xr:revisionPtr revIDLastSave="0" documentId="13_ncr:1_{84036A5C-E79E-439D-BE4F-FDFF035E69B0}" xr6:coauthVersionLast="47" xr6:coauthVersionMax="47" xr10:uidLastSave="{00000000-0000-0000-0000-000000000000}"/>
  <bookViews>
    <workbookView xWindow="-120" yWindow="-120" windowWidth="20730" windowHeight="11040" tabRatio="1000" firstSheet="3" activeTab="33" xr2:uid="{00000000-000D-0000-FFFF-FFFF00000000}"/>
  </bookViews>
  <sheets>
    <sheet name="BP 010120x1" sheetId="2" state="hidden" r:id="rId1"/>
    <sheet name="Diario 20x2" sheetId="34" state="hidden" r:id="rId2"/>
    <sheet name="BP 311220x2" sheetId="29" state="hidden" r:id="rId3"/>
    <sheet name="Diario 20x3" sheetId="37" r:id="rId4"/>
    <sheet name="BP 311220x3" sheetId="36" r:id="rId5"/>
    <sheet name="Sumaria contabilidad" sheetId="48" r:id="rId6"/>
    <sheet name="110 Renta 20x3" sheetId="51" r:id="rId7"/>
    <sheet name="Sumaria renta 20x3" sheetId="50" r:id="rId8"/>
    <sheet name="2516 20x3" sheetId="63" r:id="rId9"/>
    <sheet name="Activos y pasivos ME" sheetId="52" state="hidden" r:id="rId10"/>
    <sheet name="ESF" sheetId="40" r:id="rId11"/>
    <sheet name="ERI" sheetId="41" r:id="rId12"/>
    <sheet name="Cam pat" sheetId="42" r:id="rId13"/>
    <sheet name="Flujos indirecto" sheetId="43" state="hidden" r:id="rId14"/>
    <sheet name="Hojas flujo indirecto" sheetId="46" state="hidden" r:id="rId15"/>
    <sheet name="Notas" sheetId="47" state="hidden" r:id="rId16"/>
    <sheet name="Banco ext" sheetId="64" r:id="rId17"/>
    <sheet name="Acciones" sheetId="3" r:id="rId18"/>
    <sheet name="Derivados" sheetId="32" r:id="rId19"/>
    <sheet name="CDT" sheetId="33" r:id="rId20"/>
    <sheet name="Clientes" sheetId="6" r:id="rId21"/>
    <sheet name="Inventarios" sheetId="7" r:id="rId22"/>
    <sheet name="PPYE" sheetId="8" r:id="rId23"/>
    <sheet name="Otros activos" sheetId="9" r:id="rId24"/>
    <sheet name="Pasivos" sheetId="10" r:id="rId25"/>
    <sheet name="Laboral" sheetId="20" r:id="rId26"/>
    <sheet name="Imp corriente" sheetId="35" r:id="rId27"/>
    <sheet name="Imp diferidos" sheetId="12" r:id="rId28"/>
    <sheet name="Int presuntos" sheetId="53" r:id="rId29"/>
    <sheet name="Justi pat" sheetId="54" r:id="rId30"/>
    <sheet name="Anticipo" sheetId="55" r:id="rId31"/>
    <sheet name="RP" sheetId="56" state="hidden" r:id="rId32"/>
    <sheet name="retenciones" sheetId="57" r:id="rId33"/>
    <sheet name="Ica" sheetId="59" r:id="rId34"/>
    <sheet name="Compensacion" sheetId="60" state="hidden" r:id="rId35"/>
    <sheet name="Venta de PPYE" sheetId="61" state="hidden" r:id="rId36"/>
  </sheets>
  <externalReferences>
    <externalReference r:id="rId37"/>
    <externalReference r:id="rId38"/>
    <externalReference r:id="rId39"/>
    <externalReference r:id="rId40"/>
  </externalReferences>
  <definedNames>
    <definedName name="_xlnm.Print_Area" localSheetId="11">ERI!$B$1:$D$34</definedName>
    <definedName name="_xlnm.Print_Area" localSheetId="10">ESF!$B$1:$E$49</definedName>
    <definedName name="_xlnm.Print_Area" localSheetId="13">'Flujos indirecto'!$B$1:$D$50</definedName>
    <definedName name="diez">[1]Conf!$C$10</definedName>
    <definedName name="nueve">[2]Conf!$C$9</definedName>
    <definedName name="Reglon_renta">[3]Lists!$AQ$3:$AQ$58</definedName>
    <definedName name="renglon_renta1">[4]Lists!$AQ$3:$AQ$58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7" i="10" l="1"/>
  <c r="E116" i="10"/>
  <c r="D12" i="33"/>
  <c r="D10" i="33"/>
  <c r="D9" i="33"/>
  <c r="D8" i="33"/>
  <c r="D7" i="33"/>
  <c r="C18" i="64"/>
  <c r="D16" i="64"/>
  <c r="C16" i="64"/>
  <c r="D14" i="64"/>
  <c r="C14" i="64"/>
  <c r="C9" i="64"/>
  <c r="C6" i="64"/>
  <c r="C5" i="64"/>
  <c r="F3" i="64"/>
  <c r="B115" i="46"/>
  <c r="C6" i="54"/>
  <c r="F14" i="61"/>
  <c r="G6" i="61"/>
  <c r="H6" i="61" s="1"/>
  <c r="I6" i="61" s="1"/>
  <c r="G5" i="61"/>
  <c r="H5" i="61" s="1"/>
  <c r="F7" i="61"/>
  <c r="F5" i="61"/>
  <c r="D7" i="61"/>
  <c r="D6" i="61"/>
  <c r="F6" i="61" s="1"/>
  <c r="V171" i="7"/>
  <c r="V169" i="7"/>
  <c r="Y166" i="7"/>
  <c r="Y165" i="7"/>
  <c r="Y164" i="7"/>
  <c r="Y163" i="7"/>
  <c r="V165" i="7"/>
  <c r="V161" i="7"/>
  <c r="G29" i="52"/>
  <c r="G28" i="52"/>
  <c r="G27" i="52"/>
  <c r="E28" i="52"/>
  <c r="E27" i="52"/>
  <c r="G12" i="52"/>
  <c r="G11" i="52"/>
  <c r="G10" i="52"/>
  <c r="D10" i="52"/>
  <c r="D11" i="52"/>
  <c r="D12" i="52"/>
  <c r="L982" i="63"/>
  <c r="K982" i="63"/>
  <c r="I982" i="63"/>
  <c r="M981" i="63"/>
  <c r="M980" i="63"/>
  <c r="M979" i="63"/>
  <c r="M977" i="63"/>
  <c r="M976" i="63"/>
  <c r="M975" i="63"/>
  <c r="M974" i="63"/>
  <c r="M972" i="63"/>
  <c r="M969" i="63"/>
  <c r="M967" i="63"/>
  <c r="M966" i="63"/>
  <c r="M965" i="63"/>
  <c r="M964" i="63"/>
  <c r="M961" i="63"/>
  <c r="M960" i="63"/>
  <c r="M959" i="63"/>
  <c r="M957" i="63"/>
  <c r="M955" i="63"/>
  <c r="M954" i="63"/>
  <c r="M953" i="63"/>
  <c r="M952" i="63"/>
  <c r="M951" i="63"/>
  <c r="M950" i="63"/>
  <c r="M949" i="63"/>
  <c r="M948" i="63"/>
  <c r="M945" i="63"/>
  <c r="H981" i="63"/>
  <c r="H980" i="63"/>
  <c r="H979" i="63"/>
  <c r="L962" i="63"/>
  <c r="K962" i="63"/>
  <c r="I962" i="63"/>
  <c r="H961" i="63"/>
  <c r="H960" i="63"/>
  <c r="H959" i="63"/>
  <c r="I930" i="63"/>
  <c r="I929" i="63"/>
  <c r="J921" i="63"/>
  <c r="J920" i="63"/>
  <c r="J919" i="63"/>
  <c r="H930" i="63"/>
  <c r="H929" i="63"/>
  <c r="I910" i="63"/>
  <c r="H910" i="63"/>
  <c r="J910" i="63" s="1"/>
  <c r="I875" i="63"/>
  <c r="I862" i="63"/>
  <c r="J929" i="63" l="1"/>
  <c r="J930" i="63"/>
  <c r="M978" i="63"/>
  <c r="I202" i="63" l="1"/>
  <c r="L589" i="63"/>
  <c r="H589" i="63"/>
  <c r="I584" i="63"/>
  <c r="L588" i="63"/>
  <c r="H588" i="63"/>
  <c r="L587" i="63"/>
  <c r="H587" i="63"/>
  <c r="L586" i="63"/>
  <c r="H586" i="63"/>
  <c r="L585" i="63"/>
  <c r="H585" i="63"/>
  <c r="I576" i="63"/>
  <c r="L583" i="63"/>
  <c r="H583" i="63"/>
  <c r="L582" i="63"/>
  <c r="H582" i="63"/>
  <c r="L581" i="63"/>
  <c r="H581" i="63"/>
  <c r="L580" i="63"/>
  <c r="H580" i="63"/>
  <c r="L579" i="63"/>
  <c r="H579" i="63"/>
  <c r="L578" i="63"/>
  <c r="H578" i="63"/>
  <c r="L577" i="63"/>
  <c r="H577" i="63"/>
  <c r="L575" i="63"/>
  <c r="H575" i="63"/>
  <c r="L574" i="63"/>
  <c r="H574" i="63"/>
  <c r="L573" i="63"/>
  <c r="H573" i="63"/>
  <c r="L572" i="63"/>
  <c r="H572" i="63"/>
  <c r="L571" i="63"/>
  <c r="H571" i="63"/>
  <c r="L570" i="63"/>
  <c r="H570" i="63"/>
  <c r="L569" i="63"/>
  <c r="H569" i="63"/>
  <c r="L568" i="63"/>
  <c r="H568" i="63"/>
  <c r="L567" i="63"/>
  <c r="H567" i="63"/>
  <c r="I566" i="63"/>
  <c r="L565" i="63"/>
  <c r="H565" i="63"/>
  <c r="L562" i="63"/>
  <c r="H562" i="63"/>
  <c r="L561" i="63"/>
  <c r="H561" i="63"/>
  <c r="L559" i="63"/>
  <c r="H559" i="63"/>
  <c r="L558" i="63"/>
  <c r="H558" i="63"/>
  <c r="I560" i="63"/>
  <c r="I557" i="63"/>
  <c r="I545" i="63"/>
  <c r="L556" i="63"/>
  <c r="H556" i="63"/>
  <c r="L555" i="63"/>
  <c r="H555" i="63"/>
  <c r="L553" i="63"/>
  <c r="H553" i="63"/>
  <c r="L552" i="63"/>
  <c r="H552" i="63"/>
  <c r="L550" i="63"/>
  <c r="H550" i="63"/>
  <c r="L549" i="63"/>
  <c r="H549" i="63"/>
  <c r="L547" i="63"/>
  <c r="H547" i="63"/>
  <c r="L546" i="63"/>
  <c r="H546" i="63"/>
  <c r="I520" i="63"/>
  <c r="L544" i="63"/>
  <c r="H544" i="63"/>
  <c r="L543" i="63"/>
  <c r="H543" i="63"/>
  <c r="L542" i="63"/>
  <c r="H542" i="63"/>
  <c r="L541" i="63"/>
  <c r="H541" i="63"/>
  <c r="L540" i="63"/>
  <c r="H540" i="63"/>
  <c r="L539" i="63"/>
  <c r="H539" i="63"/>
  <c r="L538" i="63"/>
  <c r="H538" i="63"/>
  <c r="L537" i="63"/>
  <c r="H537" i="63"/>
  <c r="L536" i="63"/>
  <c r="H536" i="63"/>
  <c r="L535" i="63"/>
  <c r="H535" i="63"/>
  <c r="L534" i="63"/>
  <c r="H534" i="63"/>
  <c r="L533" i="63"/>
  <c r="H533" i="63"/>
  <c r="L532" i="63"/>
  <c r="H532" i="63"/>
  <c r="L531" i="63"/>
  <c r="H531" i="63"/>
  <c r="L530" i="63"/>
  <c r="H530" i="63"/>
  <c r="L529" i="63"/>
  <c r="H529" i="63"/>
  <c r="L528" i="63"/>
  <c r="H528" i="63"/>
  <c r="L527" i="63"/>
  <c r="H527" i="63"/>
  <c r="L526" i="63"/>
  <c r="H526" i="63"/>
  <c r="L525" i="63"/>
  <c r="H525" i="63"/>
  <c r="L524" i="63"/>
  <c r="H524" i="63"/>
  <c r="L523" i="63"/>
  <c r="H523" i="63"/>
  <c r="L522" i="63"/>
  <c r="H522" i="63"/>
  <c r="L521" i="63"/>
  <c r="H521" i="63"/>
  <c r="I496" i="63"/>
  <c r="L519" i="63"/>
  <c r="H519" i="63"/>
  <c r="L518" i="63"/>
  <c r="H518" i="63"/>
  <c r="L517" i="63"/>
  <c r="H517" i="63"/>
  <c r="L516" i="63"/>
  <c r="H516" i="63"/>
  <c r="L515" i="63"/>
  <c r="H515" i="63"/>
  <c r="L514" i="63"/>
  <c r="H514" i="63"/>
  <c r="L513" i="63"/>
  <c r="H513" i="63"/>
  <c r="L512" i="63"/>
  <c r="H512" i="63"/>
  <c r="L511" i="63"/>
  <c r="H511" i="63"/>
  <c r="L510" i="63"/>
  <c r="H510" i="63"/>
  <c r="L509" i="63"/>
  <c r="H509" i="63"/>
  <c r="L508" i="63"/>
  <c r="H508" i="63"/>
  <c r="L507" i="63"/>
  <c r="H507" i="63"/>
  <c r="L506" i="63"/>
  <c r="H506" i="63"/>
  <c r="L505" i="63"/>
  <c r="H505" i="63"/>
  <c r="L504" i="63"/>
  <c r="H504" i="63"/>
  <c r="L503" i="63"/>
  <c r="H503" i="63"/>
  <c r="L502" i="63"/>
  <c r="H502" i="63"/>
  <c r="L501" i="63"/>
  <c r="H501" i="63"/>
  <c r="L500" i="63"/>
  <c r="H500" i="63"/>
  <c r="L499" i="63"/>
  <c r="H499" i="63"/>
  <c r="L498" i="63"/>
  <c r="H498" i="63"/>
  <c r="L497" i="63"/>
  <c r="H497" i="63"/>
  <c r="I491" i="63"/>
  <c r="I490" i="63" s="1"/>
  <c r="L495" i="63"/>
  <c r="H495" i="63"/>
  <c r="L494" i="63"/>
  <c r="H494" i="63"/>
  <c r="L493" i="63"/>
  <c r="H493" i="63"/>
  <c r="L492" i="63"/>
  <c r="H492" i="63"/>
  <c r="I465" i="63"/>
  <c r="L489" i="63"/>
  <c r="H489" i="63"/>
  <c r="L488" i="63"/>
  <c r="H488" i="63"/>
  <c r="L487" i="63"/>
  <c r="H487" i="63"/>
  <c r="L486" i="63"/>
  <c r="H486" i="63"/>
  <c r="L484" i="63"/>
  <c r="H484" i="63"/>
  <c r="L483" i="63"/>
  <c r="H483" i="63"/>
  <c r="L482" i="63"/>
  <c r="H482" i="63"/>
  <c r="L481" i="63"/>
  <c r="H481" i="63"/>
  <c r="L480" i="63"/>
  <c r="H480" i="63"/>
  <c r="L479" i="63"/>
  <c r="H479" i="63"/>
  <c r="L478" i="63"/>
  <c r="H478" i="63"/>
  <c r="L477" i="63"/>
  <c r="H477" i="63"/>
  <c r="L476" i="63"/>
  <c r="H476" i="63"/>
  <c r="L475" i="63"/>
  <c r="H475" i="63"/>
  <c r="L474" i="63"/>
  <c r="H474" i="63"/>
  <c r="L472" i="63"/>
  <c r="H472" i="63"/>
  <c r="L471" i="63"/>
  <c r="H471" i="63"/>
  <c r="L470" i="63"/>
  <c r="H470" i="63"/>
  <c r="L469" i="63"/>
  <c r="H469" i="63"/>
  <c r="L468" i="63"/>
  <c r="H468" i="63"/>
  <c r="I444" i="63"/>
  <c r="L463" i="63"/>
  <c r="H463" i="63"/>
  <c r="L460" i="63"/>
  <c r="H460" i="63"/>
  <c r="L458" i="63"/>
  <c r="H458" i="63"/>
  <c r="L457" i="63"/>
  <c r="H457" i="63"/>
  <c r="L456" i="63"/>
  <c r="H456" i="63"/>
  <c r="L455" i="63"/>
  <c r="H455" i="63"/>
  <c r="L454" i="63"/>
  <c r="H454" i="63"/>
  <c r="L453" i="63"/>
  <c r="H453" i="63"/>
  <c r="L451" i="63"/>
  <c r="H451" i="63"/>
  <c r="L450" i="63"/>
  <c r="H450" i="63"/>
  <c r="L447" i="63"/>
  <c r="H447" i="63"/>
  <c r="I439" i="63"/>
  <c r="L443" i="63"/>
  <c r="H443" i="63"/>
  <c r="L442" i="63"/>
  <c r="H442" i="63"/>
  <c r="L441" i="63"/>
  <c r="H441" i="63"/>
  <c r="L434" i="63"/>
  <c r="H434" i="63"/>
  <c r="I422" i="63"/>
  <c r="L433" i="63"/>
  <c r="H433" i="63"/>
  <c r="L432" i="63"/>
  <c r="H432" i="63"/>
  <c r="L431" i="63"/>
  <c r="H431" i="63"/>
  <c r="L430" i="63"/>
  <c r="H430" i="63"/>
  <c r="L429" i="63"/>
  <c r="H429" i="63"/>
  <c r="L428" i="63"/>
  <c r="H428" i="63"/>
  <c r="L427" i="63"/>
  <c r="H427" i="63"/>
  <c r="L426" i="63"/>
  <c r="H426" i="63"/>
  <c r="L425" i="63"/>
  <c r="H425" i="63"/>
  <c r="L424" i="63"/>
  <c r="H424" i="63"/>
  <c r="L423" i="63"/>
  <c r="H423" i="63"/>
  <c r="I397" i="63"/>
  <c r="L421" i="63"/>
  <c r="H421" i="63"/>
  <c r="L420" i="63"/>
  <c r="H420" i="63"/>
  <c r="L419" i="63"/>
  <c r="H419" i="63"/>
  <c r="L418" i="63"/>
  <c r="H418" i="63"/>
  <c r="L417" i="63"/>
  <c r="H417" i="63"/>
  <c r="L416" i="63"/>
  <c r="H416" i="63"/>
  <c r="L415" i="63"/>
  <c r="H415" i="63"/>
  <c r="L414" i="63"/>
  <c r="H414" i="63"/>
  <c r="L413" i="63"/>
  <c r="H413" i="63"/>
  <c r="L412" i="63"/>
  <c r="H412" i="63"/>
  <c r="L411" i="63"/>
  <c r="H411" i="63"/>
  <c r="L410" i="63"/>
  <c r="H410" i="63"/>
  <c r="L409" i="63"/>
  <c r="H409" i="63"/>
  <c r="L408" i="63"/>
  <c r="H408" i="63"/>
  <c r="L407" i="63"/>
  <c r="H407" i="63"/>
  <c r="L406" i="63"/>
  <c r="H406" i="63"/>
  <c r="L405" i="63"/>
  <c r="H405" i="63"/>
  <c r="L404" i="63"/>
  <c r="H404" i="63"/>
  <c r="L403" i="63"/>
  <c r="H403" i="63"/>
  <c r="L402" i="63"/>
  <c r="H402" i="63"/>
  <c r="L401" i="63"/>
  <c r="H401" i="63"/>
  <c r="L400" i="63"/>
  <c r="H400" i="63"/>
  <c r="L399" i="63"/>
  <c r="H399" i="63"/>
  <c r="L398" i="63"/>
  <c r="H398" i="63"/>
  <c r="I392" i="63"/>
  <c r="L396" i="63"/>
  <c r="H396" i="63"/>
  <c r="L395" i="63"/>
  <c r="H395" i="63"/>
  <c r="L394" i="63"/>
  <c r="H394" i="63"/>
  <c r="L393" i="63"/>
  <c r="H393" i="63"/>
  <c r="I375" i="63"/>
  <c r="L391" i="63"/>
  <c r="H391" i="63"/>
  <c r="L390" i="63"/>
  <c r="H390" i="63"/>
  <c r="L389" i="63"/>
  <c r="H389" i="63"/>
  <c r="L388" i="63"/>
  <c r="H388" i="63"/>
  <c r="L387" i="63"/>
  <c r="H387" i="63"/>
  <c r="L386" i="63"/>
  <c r="H386" i="63"/>
  <c r="L385" i="63"/>
  <c r="H385" i="63"/>
  <c r="L384" i="63"/>
  <c r="H384" i="63"/>
  <c r="L383" i="63"/>
  <c r="H383" i="63"/>
  <c r="L382" i="63"/>
  <c r="H382" i="63"/>
  <c r="L381" i="63"/>
  <c r="H381" i="63"/>
  <c r="L380" i="63"/>
  <c r="H380" i="63"/>
  <c r="L379" i="63"/>
  <c r="H379" i="63"/>
  <c r="L378" i="63"/>
  <c r="H378" i="63"/>
  <c r="L377" i="63"/>
  <c r="H377" i="63"/>
  <c r="I367" i="63"/>
  <c r="L372" i="63"/>
  <c r="I903" i="63" s="1"/>
  <c r="H372" i="63"/>
  <c r="H903" i="63" s="1"/>
  <c r="L371" i="63"/>
  <c r="H371" i="63"/>
  <c r="L370" i="63"/>
  <c r="H370" i="63"/>
  <c r="L369" i="63"/>
  <c r="H369" i="63"/>
  <c r="L368" i="63"/>
  <c r="H368" i="63"/>
  <c r="I358" i="63"/>
  <c r="L365" i="63"/>
  <c r="I901" i="63" s="1"/>
  <c r="H365" i="63"/>
  <c r="H901" i="63" s="1"/>
  <c r="L362" i="63"/>
  <c r="H362" i="63"/>
  <c r="L361" i="63"/>
  <c r="H361" i="63"/>
  <c r="L360" i="63"/>
  <c r="H360" i="63"/>
  <c r="L359" i="63"/>
  <c r="H359" i="63"/>
  <c r="I353" i="63"/>
  <c r="L357" i="63"/>
  <c r="H357" i="63"/>
  <c r="L356" i="63"/>
  <c r="H356" i="63"/>
  <c r="L355" i="63"/>
  <c r="H355" i="63"/>
  <c r="L354" i="63"/>
  <c r="H354" i="63"/>
  <c r="I345" i="63"/>
  <c r="L352" i="63"/>
  <c r="H352" i="63"/>
  <c r="L351" i="63"/>
  <c r="H351" i="63"/>
  <c r="L350" i="63"/>
  <c r="H350" i="63"/>
  <c r="L349" i="63"/>
  <c r="H349" i="63"/>
  <c r="L348" i="63"/>
  <c r="H348" i="63"/>
  <c r="L347" i="63"/>
  <c r="H347" i="63"/>
  <c r="L346" i="63"/>
  <c r="H346" i="63"/>
  <c r="I332" i="63"/>
  <c r="L344" i="63"/>
  <c r="H344" i="63"/>
  <c r="L343" i="63"/>
  <c r="H343" i="63"/>
  <c r="L342" i="63"/>
  <c r="H342" i="63"/>
  <c r="L340" i="63"/>
  <c r="H340" i="63"/>
  <c r="L339" i="63"/>
  <c r="H339" i="63"/>
  <c r="L338" i="63"/>
  <c r="H338" i="63"/>
  <c r="L337" i="63"/>
  <c r="H337" i="63"/>
  <c r="L336" i="63"/>
  <c r="H336" i="63"/>
  <c r="L335" i="63"/>
  <c r="H335" i="63"/>
  <c r="L334" i="63"/>
  <c r="H334" i="63"/>
  <c r="L333" i="63"/>
  <c r="H333" i="63"/>
  <c r="L331" i="63"/>
  <c r="H331" i="63"/>
  <c r="L330" i="63"/>
  <c r="H330" i="63"/>
  <c r="L329" i="63"/>
  <c r="H329" i="63"/>
  <c r="L328" i="63"/>
  <c r="H328" i="63"/>
  <c r="L327" i="63"/>
  <c r="H327" i="63"/>
  <c r="L326" i="63"/>
  <c r="H326" i="63"/>
  <c r="L325" i="63"/>
  <c r="H325" i="63"/>
  <c r="L324" i="63"/>
  <c r="H324" i="63"/>
  <c r="I323" i="63"/>
  <c r="I314" i="63"/>
  <c r="L322" i="63"/>
  <c r="H322" i="63"/>
  <c r="L321" i="63"/>
  <c r="H321" i="63"/>
  <c r="L320" i="63"/>
  <c r="H320" i="63"/>
  <c r="L319" i="63"/>
  <c r="H319" i="63"/>
  <c r="L318" i="63"/>
  <c r="H318" i="63"/>
  <c r="L317" i="63"/>
  <c r="H317" i="63"/>
  <c r="L316" i="63"/>
  <c r="H316" i="63"/>
  <c r="I308" i="63"/>
  <c r="L313" i="63"/>
  <c r="H313" i="63"/>
  <c r="I297" i="63"/>
  <c r="I289" i="63"/>
  <c r="I285" i="63"/>
  <c r="I262" i="63"/>
  <c r="L307" i="63"/>
  <c r="H307" i="63"/>
  <c r="L306" i="63"/>
  <c r="H306" i="63"/>
  <c r="L305" i="63"/>
  <c r="H305" i="63"/>
  <c r="L304" i="63"/>
  <c r="H304" i="63"/>
  <c r="L303" i="63"/>
  <c r="H303" i="63"/>
  <c r="L302" i="63"/>
  <c r="H302" i="63"/>
  <c r="L301" i="63"/>
  <c r="H301" i="63"/>
  <c r="L299" i="63"/>
  <c r="H299" i="63"/>
  <c r="L298" i="63"/>
  <c r="H298" i="63"/>
  <c r="L296" i="63"/>
  <c r="H296" i="63"/>
  <c r="L294" i="63"/>
  <c r="H294" i="63"/>
  <c r="L293" i="63"/>
  <c r="H293" i="63"/>
  <c r="L292" i="63"/>
  <c r="H292" i="63"/>
  <c r="L290" i="63"/>
  <c r="H290" i="63"/>
  <c r="L288" i="63"/>
  <c r="H288" i="63"/>
  <c r="L287" i="63"/>
  <c r="H287" i="63"/>
  <c r="L284" i="63"/>
  <c r="H284" i="63"/>
  <c r="L283" i="63"/>
  <c r="H283" i="63"/>
  <c r="L282" i="63"/>
  <c r="H282" i="63"/>
  <c r="L281" i="63"/>
  <c r="H281" i="63"/>
  <c r="L280" i="63"/>
  <c r="H280" i="63"/>
  <c r="L279" i="63"/>
  <c r="H279" i="63"/>
  <c r="L278" i="63"/>
  <c r="H278" i="63"/>
  <c r="L276" i="63"/>
  <c r="H276" i="63"/>
  <c r="L274" i="63"/>
  <c r="H274" i="63"/>
  <c r="L273" i="63"/>
  <c r="H273" i="63"/>
  <c r="L272" i="63"/>
  <c r="H272" i="63"/>
  <c r="L271" i="63"/>
  <c r="H271" i="63"/>
  <c r="L270" i="63"/>
  <c r="H270" i="63"/>
  <c r="L269" i="63"/>
  <c r="H269" i="63"/>
  <c r="L268" i="63"/>
  <c r="H268" i="63"/>
  <c r="L267" i="63"/>
  <c r="H267" i="63"/>
  <c r="L266" i="63"/>
  <c r="H266" i="63"/>
  <c r="L265" i="63"/>
  <c r="H265" i="63"/>
  <c r="L264" i="63"/>
  <c r="H264" i="63"/>
  <c r="I436" i="63" l="1"/>
  <c r="I438" i="63"/>
  <c r="I261" i="63"/>
  <c r="I373" i="63" s="1"/>
  <c r="I592" i="63"/>
  <c r="K486" i="63"/>
  <c r="K488" i="63"/>
  <c r="K493" i="63"/>
  <c r="K495" i="63"/>
  <c r="K394" i="63"/>
  <c r="K396" i="63"/>
  <c r="J903" i="63"/>
  <c r="K484" i="63"/>
  <c r="J901" i="63"/>
  <c r="L496" i="63"/>
  <c r="K580" i="63"/>
  <c r="K582" i="63"/>
  <c r="K433" i="63"/>
  <c r="K370" i="63"/>
  <c r="K423" i="63"/>
  <c r="K425" i="63"/>
  <c r="K427" i="63"/>
  <c r="K429" i="63"/>
  <c r="K431" i="63"/>
  <c r="K468" i="63"/>
  <c r="K470" i="63"/>
  <c r="K472" i="63"/>
  <c r="K474" i="63"/>
  <c r="K476" i="63"/>
  <c r="K478" i="63"/>
  <c r="K480" i="63"/>
  <c r="K482" i="63"/>
  <c r="K567" i="63"/>
  <c r="K569" i="63"/>
  <c r="K571" i="63"/>
  <c r="K573" i="63"/>
  <c r="K575" i="63"/>
  <c r="K578" i="63"/>
  <c r="L323" i="63"/>
  <c r="I896" i="63" s="1"/>
  <c r="L353" i="63"/>
  <c r="I899" i="63" s="1"/>
  <c r="K405" i="63"/>
  <c r="K417" i="63"/>
  <c r="K419" i="63"/>
  <c r="K421" i="63"/>
  <c r="L367" i="63"/>
  <c r="L366" i="63" s="1"/>
  <c r="I902" i="63" s="1"/>
  <c r="K508" i="63"/>
  <c r="K510" i="63"/>
  <c r="K512" i="63"/>
  <c r="K516" i="63"/>
  <c r="K518" i="63"/>
  <c r="K547" i="63"/>
  <c r="K549" i="63"/>
  <c r="K553" i="63"/>
  <c r="K555" i="63"/>
  <c r="K558" i="63"/>
  <c r="K565" i="63"/>
  <c r="K585" i="63"/>
  <c r="K587" i="63"/>
  <c r="L345" i="63"/>
  <c r="I898" i="63" s="1"/>
  <c r="L397" i="63"/>
  <c r="I908" i="63" s="1"/>
  <c r="K316" i="63"/>
  <c r="K318" i="63"/>
  <c r="K320" i="63"/>
  <c r="K322" i="63"/>
  <c r="K347" i="63"/>
  <c r="K349" i="63"/>
  <c r="K351" i="63"/>
  <c r="K393" i="63"/>
  <c r="K395" i="63"/>
  <c r="K424" i="63"/>
  <c r="K426" i="63"/>
  <c r="K428" i="63"/>
  <c r="K430" i="63"/>
  <c r="K432" i="63"/>
  <c r="K442" i="63"/>
  <c r="K469" i="63"/>
  <c r="K471" i="63"/>
  <c r="K475" i="63"/>
  <c r="K477" i="63"/>
  <c r="K479" i="63"/>
  <c r="K481" i="63"/>
  <c r="K483" i="63"/>
  <c r="K487" i="63"/>
  <c r="K489" i="63"/>
  <c r="K492" i="63"/>
  <c r="K494" i="63"/>
  <c r="K521" i="63"/>
  <c r="K523" i="63"/>
  <c r="K525" i="63"/>
  <c r="K527" i="63"/>
  <c r="K529" i="63"/>
  <c r="K531" i="63"/>
  <c r="K533" i="63"/>
  <c r="K535" i="63"/>
  <c r="K537" i="63"/>
  <c r="K539" i="63"/>
  <c r="K541" i="63"/>
  <c r="K543" i="63"/>
  <c r="L557" i="63"/>
  <c r="I924" i="63" s="1"/>
  <c r="L584" i="63"/>
  <c r="I928" i="63" s="1"/>
  <c r="K326" i="63"/>
  <c r="K360" i="63"/>
  <c r="L392" i="63"/>
  <c r="I907" i="63" s="1"/>
  <c r="L491" i="63"/>
  <c r="L520" i="63"/>
  <c r="L576" i="63"/>
  <c r="I927" i="63" s="1"/>
  <c r="H345" i="63"/>
  <c r="H898" i="63" s="1"/>
  <c r="K264" i="63"/>
  <c r="K266" i="63"/>
  <c r="K268" i="63"/>
  <c r="K270" i="63"/>
  <c r="K272" i="63"/>
  <c r="K274" i="63"/>
  <c r="K276" i="63"/>
  <c r="K278" i="63"/>
  <c r="K280" i="63"/>
  <c r="K282" i="63"/>
  <c r="K284" i="63"/>
  <c r="K288" i="63"/>
  <c r="K293" i="63"/>
  <c r="K299" i="63"/>
  <c r="K301" i="63"/>
  <c r="K303" i="63"/>
  <c r="K305" i="63"/>
  <c r="K307" i="63"/>
  <c r="H323" i="63"/>
  <c r="H896" i="63" s="1"/>
  <c r="K328" i="63"/>
  <c r="K330" i="63"/>
  <c r="K333" i="63"/>
  <c r="K335" i="63"/>
  <c r="K337" i="63"/>
  <c r="K339" i="63"/>
  <c r="K343" i="63"/>
  <c r="K354" i="63"/>
  <c r="K356" i="63"/>
  <c r="H353" i="63"/>
  <c r="H899" i="63" s="1"/>
  <c r="K317" i="63"/>
  <c r="K319" i="63"/>
  <c r="K321" i="63"/>
  <c r="K346" i="63"/>
  <c r="K348" i="63"/>
  <c r="K350" i="63"/>
  <c r="K352" i="63"/>
  <c r="K359" i="63"/>
  <c r="K361" i="63"/>
  <c r="K365" i="63"/>
  <c r="K368" i="63"/>
  <c r="H367" i="63"/>
  <c r="H366" i="63" s="1"/>
  <c r="H902" i="63" s="1"/>
  <c r="K265" i="63"/>
  <c r="K267" i="63"/>
  <c r="K269" i="63"/>
  <c r="K271" i="63"/>
  <c r="K273" i="63"/>
  <c r="K279" i="63"/>
  <c r="K281" i="63"/>
  <c r="K283" i="63"/>
  <c r="K287" i="63"/>
  <c r="K290" i="63"/>
  <c r="K292" i="63"/>
  <c r="K294" i="63"/>
  <c r="K296" i="63"/>
  <c r="K298" i="63"/>
  <c r="K302" i="63"/>
  <c r="K304" i="63"/>
  <c r="K306" i="63"/>
  <c r="K313" i="63"/>
  <c r="K325" i="63"/>
  <c r="K327" i="63"/>
  <c r="K329" i="63"/>
  <c r="K331" i="63"/>
  <c r="K334" i="63"/>
  <c r="K336" i="63"/>
  <c r="K338" i="63"/>
  <c r="K340" i="63"/>
  <c r="K342" i="63"/>
  <c r="K344" i="63"/>
  <c r="K355" i="63"/>
  <c r="K357" i="63"/>
  <c r="K369" i="63"/>
  <c r="K371" i="63"/>
  <c r="K377" i="63"/>
  <c r="K379" i="63"/>
  <c r="K381" i="63"/>
  <c r="K383" i="63"/>
  <c r="K385" i="63"/>
  <c r="K387" i="63"/>
  <c r="K389" i="63"/>
  <c r="K391" i="63"/>
  <c r="K398" i="63"/>
  <c r="K400" i="63"/>
  <c r="K402" i="63"/>
  <c r="K404" i="63"/>
  <c r="K406" i="63"/>
  <c r="K408" i="63"/>
  <c r="K410" i="63"/>
  <c r="K412" i="63"/>
  <c r="K414" i="63"/>
  <c r="K416" i="63"/>
  <c r="K418" i="63"/>
  <c r="K420" i="63"/>
  <c r="H397" i="63"/>
  <c r="H908" i="63" s="1"/>
  <c r="K434" i="63"/>
  <c r="K447" i="63"/>
  <c r="K451" i="63"/>
  <c r="K453" i="63"/>
  <c r="K455" i="63"/>
  <c r="K457" i="63"/>
  <c r="K463" i="63"/>
  <c r="K497" i="63"/>
  <c r="K499" i="63"/>
  <c r="K501" i="63"/>
  <c r="K503" i="63"/>
  <c r="K505" i="63"/>
  <c r="K507" i="63"/>
  <c r="K509" i="63"/>
  <c r="K511" i="63"/>
  <c r="K513" i="63"/>
  <c r="K515" i="63"/>
  <c r="K517" i="63"/>
  <c r="K519" i="63"/>
  <c r="K546" i="63"/>
  <c r="K550" i="63"/>
  <c r="K552" i="63"/>
  <c r="K556" i="63"/>
  <c r="K559" i="63"/>
  <c r="K562" i="63"/>
  <c r="H566" i="63"/>
  <c r="H926" i="63" s="1"/>
  <c r="K568" i="63"/>
  <c r="K570" i="63"/>
  <c r="K572" i="63"/>
  <c r="K574" i="63"/>
  <c r="K577" i="63"/>
  <c r="K579" i="63"/>
  <c r="K581" i="63"/>
  <c r="K583" i="63"/>
  <c r="L422" i="63"/>
  <c r="I909" i="63" s="1"/>
  <c r="K441" i="63"/>
  <c r="K443" i="63"/>
  <c r="K522" i="63"/>
  <c r="K524" i="63"/>
  <c r="K526" i="63"/>
  <c r="K528" i="63"/>
  <c r="K530" i="63"/>
  <c r="K532" i="63"/>
  <c r="K534" i="63"/>
  <c r="K536" i="63"/>
  <c r="K538" i="63"/>
  <c r="K540" i="63"/>
  <c r="K542" i="63"/>
  <c r="K544" i="63"/>
  <c r="K586" i="63"/>
  <c r="K588" i="63"/>
  <c r="K372" i="63"/>
  <c r="K378" i="63"/>
  <c r="K380" i="63"/>
  <c r="K382" i="63"/>
  <c r="K384" i="63"/>
  <c r="K386" i="63"/>
  <c r="K388" i="63"/>
  <c r="K390" i="63"/>
  <c r="K399" i="63"/>
  <c r="K401" i="63"/>
  <c r="K403" i="63"/>
  <c r="K407" i="63"/>
  <c r="K409" i="63"/>
  <c r="K411" i="63"/>
  <c r="K413" i="63"/>
  <c r="K415" i="63"/>
  <c r="K450" i="63"/>
  <c r="K454" i="63"/>
  <c r="K456" i="63"/>
  <c r="K458" i="63"/>
  <c r="K460" i="63"/>
  <c r="K498" i="63"/>
  <c r="K500" i="63"/>
  <c r="K502" i="63"/>
  <c r="K504" i="63"/>
  <c r="K506" i="63"/>
  <c r="K514" i="63"/>
  <c r="H496" i="63"/>
  <c r="H576" i="63"/>
  <c r="H927" i="63" s="1"/>
  <c r="H392" i="63"/>
  <c r="H907" i="63" s="1"/>
  <c r="H491" i="63"/>
  <c r="H520" i="63"/>
  <c r="L566" i="63"/>
  <c r="I926" i="63" s="1"/>
  <c r="H584" i="63"/>
  <c r="H928" i="63" s="1"/>
  <c r="J589" i="63"/>
  <c r="K589" i="63"/>
  <c r="J585" i="63"/>
  <c r="J586" i="63"/>
  <c r="J587" i="63"/>
  <c r="J588" i="63"/>
  <c r="J577" i="63"/>
  <c r="J578" i="63"/>
  <c r="J579" i="63"/>
  <c r="J580" i="63"/>
  <c r="J581" i="63"/>
  <c r="J582" i="63"/>
  <c r="J583" i="63"/>
  <c r="J567" i="63"/>
  <c r="J568" i="63"/>
  <c r="J569" i="63"/>
  <c r="J570" i="63"/>
  <c r="J571" i="63"/>
  <c r="J572" i="63"/>
  <c r="J573" i="63"/>
  <c r="J574" i="63"/>
  <c r="J575" i="63"/>
  <c r="J562" i="63"/>
  <c r="J565" i="63"/>
  <c r="K561" i="63"/>
  <c r="J561" i="63"/>
  <c r="J558" i="63"/>
  <c r="J559" i="63"/>
  <c r="H557" i="63"/>
  <c r="H924" i="63" s="1"/>
  <c r="J546" i="63"/>
  <c r="J547" i="63"/>
  <c r="J549" i="63"/>
  <c r="J550" i="63"/>
  <c r="J552" i="63"/>
  <c r="J553" i="63"/>
  <c r="J555" i="63"/>
  <c r="J556" i="63"/>
  <c r="J521" i="63"/>
  <c r="J522" i="63"/>
  <c r="J523" i="63"/>
  <c r="J524" i="63"/>
  <c r="J525" i="63"/>
  <c r="J526" i="63"/>
  <c r="J527" i="63"/>
  <c r="J528" i="63"/>
  <c r="J529" i="63"/>
  <c r="J530" i="63"/>
  <c r="J531" i="63"/>
  <c r="J532" i="63"/>
  <c r="J533" i="63"/>
  <c r="J534" i="63"/>
  <c r="J535" i="63"/>
  <c r="J536" i="63"/>
  <c r="J537" i="63"/>
  <c r="J538" i="63"/>
  <c r="J539" i="63"/>
  <c r="J540" i="63"/>
  <c r="J541" i="63"/>
  <c r="J542" i="63"/>
  <c r="J543" i="63"/>
  <c r="J544" i="63"/>
  <c r="J497" i="63"/>
  <c r="J498" i="63"/>
  <c r="J499" i="63"/>
  <c r="J500" i="63"/>
  <c r="J501" i="63"/>
  <c r="J502" i="63"/>
  <c r="J503" i="63"/>
  <c r="J504" i="63"/>
  <c r="J505" i="63"/>
  <c r="J506" i="63"/>
  <c r="J507" i="63"/>
  <c r="J508" i="63"/>
  <c r="J509" i="63"/>
  <c r="J510" i="63"/>
  <c r="J511" i="63"/>
  <c r="J512" i="63"/>
  <c r="J513" i="63"/>
  <c r="J514" i="63"/>
  <c r="J515" i="63"/>
  <c r="J516" i="63"/>
  <c r="J517" i="63"/>
  <c r="J518" i="63"/>
  <c r="J519" i="63"/>
  <c r="J492" i="63"/>
  <c r="J493" i="63"/>
  <c r="J494" i="63"/>
  <c r="J495" i="63"/>
  <c r="J468" i="63"/>
  <c r="J469" i="63"/>
  <c r="J470" i="63"/>
  <c r="J471" i="63"/>
  <c r="J472" i="63"/>
  <c r="J474" i="63"/>
  <c r="J475" i="63"/>
  <c r="J476" i="63"/>
  <c r="J477" i="63"/>
  <c r="J478" i="63"/>
  <c r="J479" i="63"/>
  <c r="J480" i="63"/>
  <c r="J481" i="63"/>
  <c r="J482" i="63"/>
  <c r="J483" i="63"/>
  <c r="J484" i="63"/>
  <c r="J486" i="63"/>
  <c r="J487" i="63"/>
  <c r="J488" i="63"/>
  <c r="J489" i="63"/>
  <c r="J447" i="63"/>
  <c r="J450" i="63"/>
  <c r="J451" i="63"/>
  <c r="J453" i="63"/>
  <c r="J454" i="63"/>
  <c r="J455" i="63"/>
  <c r="J456" i="63"/>
  <c r="J457" i="63"/>
  <c r="J458" i="63"/>
  <c r="J460" i="63"/>
  <c r="J463" i="63"/>
  <c r="J441" i="63"/>
  <c r="J442" i="63"/>
  <c r="J443" i="63"/>
  <c r="J434" i="63"/>
  <c r="H422" i="63"/>
  <c r="J423" i="63"/>
  <c r="J424" i="63"/>
  <c r="J425" i="63"/>
  <c r="J426" i="63"/>
  <c r="J427" i="63"/>
  <c r="J428" i="63"/>
  <c r="J429" i="63"/>
  <c r="J430" i="63"/>
  <c r="J431" i="63"/>
  <c r="J432" i="63"/>
  <c r="J433" i="63"/>
  <c r="J421" i="63"/>
  <c r="J398" i="63"/>
  <c r="J399" i="63"/>
  <c r="J400" i="63"/>
  <c r="J401" i="63"/>
  <c r="J402" i="63"/>
  <c r="J403" i="63"/>
  <c r="J404" i="63"/>
  <c r="J405" i="63"/>
  <c r="J406" i="63"/>
  <c r="J407" i="63"/>
  <c r="J408" i="63"/>
  <c r="J409" i="63"/>
  <c r="J410" i="63"/>
  <c r="J411" i="63"/>
  <c r="J412" i="63"/>
  <c r="J413" i="63"/>
  <c r="J414" i="63"/>
  <c r="J415" i="63"/>
  <c r="J416" i="63"/>
  <c r="J417" i="63"/>
  <c r="J418" i="63"/>
  <c r="J419" i="63"/>
  <c r="J420" i="63"/>
  <c r="J393" i="63"/>
  <c r="J394" i="63"/>
  <c r="J395" i="63"/>
  <c r="J396" i="63"/>
  <c r="J377" i="63"/>
  <c r="J378" i="63"/>
  <c r="J379" i="63"/>
  <c r="J380" i="63"/>
  <c r="J381" i="63"/>
  <c r="J382" i="63"/>
  <c r="J383" i="63"/>
  <c r="J384" i="63"/>
  <c r="J385" i="63"/>
  <c r="J386" i="63"/>
  <c r="J387" i="63"/>
  <c r="J388" i="63"/>
  <c r="J389" i="63"/>
  <c r="J390" i="63"/>
  <c r="J391" i="63"/>
  <c r="J368" i="63"/>
  <c r="J369" i="63"/>
  <c r="J370" i="63"/>
  <c r="J371" i="63"/>
  <c r="J372" i="63"/>
  <c r="K362" i="63"/>
  <c r="J359" i="63"/>
  <c r="J360" i="63"/>
  <c r="J361" i="63"/>
  <c r="J362" i="63"/>
  <c r="J365" i="63"/>
  <c r="J354" i="63"/>
  <c r="J355" i="63"/>
  <c r="J356" i="63"/>
  <c r="J357" i="63"/>
  <c r="J346" i="63"/>
  <c r="J347" i="63"/>
  <c r="J348" i="63"/>
  <c r="J349" i="63"/>
  <c r="J350" i="63"/>
  <c r="J351" i="63"/>
  <c r="J352" i="63"/>
  <c r="J333" i="63"/>
  <c r="J334" i="63"/>
  <c r="J335" i="63"/>
  <c r="J336" i="63"/>
  <c r="J337" i="63"/>
  <c r="J338" i="63"/>
  <c r="J339" i="63"/>
  <c r="J340" i="63"/>
  <c r="J342" i="63"/>
  <c r="J343" i="63"/>
  <c r="J344" i="63"/>
  <c r="J324" i="63"/>
  <c r="J325" i="63"/>
  <c r="J326" i="63"/>
  <c r="J327" i="63"/>
  <c r="J328" i="63"/>
  <c r="J329" i="63"/>
  <c r="J330" i="63"/>
  <c r="J331" i="63"/>
  <c r="K324" i="63"/>
  <c r="J316" i="63"/>
  <c r="J317" i="63"/>
  <c r="J318" i="63"/>
  <c r="J319" i="63"/>
  <c r="J320" i="63"/>
  <c r="J321" i="63"/>
  <c r="J322" i="63"/>
  <c r="J313" i="63"/>
  <c r="J299" i="63"/>
  <c r="J301" i="63"/>
  <c r="J302" i="63"/>
  <c r="J303" i="63"/>
  <c r="J304" i="63"/>
  <c r="J305" i="63"/>
  <c r="J306" i="63"/>
  <c r="J307" i="63"/>
  <c r="J298" i="63"/>
  <c r="J290" i="63"/>
  <c r="J292" i="63"/>
  <c r="J293" i="63"/>
  <c r="J294" i="63"/>
  <c r="J296" i="63"/>
  <c r="J287" i="63"/>
  <c r="J288" i="63"/>
  <c r="J264" i="63"/>
  <c r="J265" i="63"/>
  <c r="J266" i="63"/>
  <c r="J267" i="63"/>
  <c r="J268" i="63"/>
  <c r="J269" i="63"/>
  <c r="J270" i="63"/>
  <c r="J271" i="63"/>
  <c r="J272" i="63"/>
  <c r="J273" i="63"/>
  <c r="J274" i="63"/>
  <c r="J276" i="63"/>
  <c r="J278" i="63"/>
  <c r="J279" i="63"/>
  <c r="J280" i="63"/>
  <c r="J281" i="63"/>
  <c r="J282" i="63"/>
  <c r="J283" i="63"/>
  <c r="J284" i="63"/>
  <c r="H235" i="63"/>
  <c r="I235" i="63"/>
  <c r="I232" i="63"/>
  <c r="H234" i="63"/>
  <c r="I224" i="63"/>
  <c r="H231" i="63"/>
  <c r="H230" i="63"/>
  <c r="H229" i="63"/>
  <c r="H228" i="63"/>
  <c r="H227" i="63"/>
  <c r="H226" i="63"/>
  <c r="I219" i="63"/>
  <c r="H223" i="63"/>
  <c r="H222" i="63"/>
  <c r="H221" i="63"/>
  <c r="H218" i="63"/>
  <c r="H217" i="63"/>
  <c r="H216" i="63"/>
  <c r="H215" i="63"/>
  <c r="H214" i="63"/>
  <c r="H213" i="63"/>
  <c r="H212" i="63"/>
  <c r="H209" i="63"/>
  <c r="H208" i="63"/>
  <c r="H207" i="63"/>
  <c r="H206" i="63"/>
  <c r="H205" i="63"/>
  <c r="H204" i="63"/>
  <c r="L197" i="63"/>
  <c r="H197" i="63"/>
  <c r="L196" i="63"/>
  <c r="H196" i="63"/>
  <c r="L195" i="63"/>
  <c r="H195" i="63"/>
  <c r="L194" i="63"/>
  <c r="H194" i="63"/>
  <c r="L193" i="63"/>
  <c r="H193" i="63"/>
  <c r="L192" i="63"/>
  <c r="H192" i="63"/>
  <c r="L191" i="63"/>
  <c r="H191" i="63"/>
  <c r="L189" i="63"/>
  <c r="H189" i="63"/>
  <c r="L188" i="63"/>
  <c r="H188" i="63"/>
  <c r="L187" i="63"/>
  <c r="H187" i="63"/>
  <c r="L186" i="63"/>
  <c r="H186" i="63"/>
  <c r="L172" i="63"/>
  <c r="H172" i="63"/>
  <c r="L171" i="63"/>
  <c r="H171" i="63"/>
  <c r="L170" i="63"/>
  <c r="H170" i="63"/>
  <c r="L156" i="63"/>
  <c r="H156" i="63"/>
  <c r="L155" i="63"/>
  <c r="H155" i="63"/>
  <c r="L154" i="63"/>
  <c r="H154" i="63"/>
  <c r="L152" i="63"/>
  <c r="H152" i="63"/>
  <c r="L150" i="63"/>
  <c r="H150" i="63"/>
  <c r="L149" i="63"/>
  <c r="H149" i="63"/>
  <c r="L148" i="63"/>
  <c r="H148" i="63"/>
  <c r="L147" i="63"/>
  <c r="H147" i="63"/>
  <c r="L146" i="63"/>
  <c r="H146" i="63"/>
  <c r="L145" i="63"/>
  <c r="H145" i="63"/>
  <c r="L143" i="63"/>
  <c r="H143" i="63"/>
  <c r="L142" i="63"/>
  <c r="H142" i="63"/>
  <c r="L162" i="63"/>
  <c r="H162" i="63"/>
  <c r="L161" i="63"/>
  <c r="H161" i="63"/>
  <c r="L160" i="63"/>
  <c r="H160" i="63"/>
  <c r="L158" i="63"/>
  <c r="H158" i="63"/>
  <c r="I55" i="63"/>
  <c r="L136" i="63"/>
  <c r="H136" i="63"/>
  <c r="L135" i="63"/>
  <c r="H135" i="63"/>
  <c r="L133" i="63"/>
  <c r="H133" i="63"/>
  <c r="L132" i="63"/>
  <c r="H132" i="63"/>
  <c r="L131" i="63"/>
  <c r="H131" i="63"/>
  <c r="L130" i="63"/>
  <c r="H130" i="63"/>
  <c r="L129" i="63"/>
  <c r="H129" i="63"/>
  <c r="L128" i="63"/>
  <c r="H128" i="63"/>
  <c r="L127" i="63"/>
  <c r="H127" i="63"/>
  <c r="L124" i="63"/>
  <c r="H124" i="63"/>
  <c r="L123" i="63"/>
  <c r="H123" i="63"/>
  <c r="L122" i="63"/>
  <c r="H122" i="63"/>
  <c r="L121" i="63"/>
  <c r="H121" i="63"/>
  <c r="L120" i="63"/>
  <c r="H120" i="63"/>
  <c r="L116" i="63"/>
  <c r="H116" i="63"/>
  <c r="L115" i="63"/>
  <c r="H115" i="63"/>
  <c r="L114" i="63"/>
  <c r="H114" i="63"/>
  <c r="L113" i="63"/>
  <c r="H113" i="63"/>
  <c r="L111" i="63"/>
  <c r="H111" i="63"/>
  <c r="L110" i="63"/>
  <c r="H110" i="63"/>
  <c r="L106" i="63"/>
  <c r="H106" i="63"/>
  <c r="L105" i="63"/>
  <c r="H105" i="63"/>
  <c r="L104" i="63"/>
  <c r="H104" i="63"/>
  <c r="L103" i="63"/>
  <c r="H103" i="63"/>
  <c r="L102" i="63"/>
  <c r="H102" i="63"/>
  <c r="L101" i="63"/>
  <c r="H101" i="63"/>
  <c r="L99" i="63"/>
  <c r="H99" i="63"/>
  <c r="L97" i="63"/>
  <c r="H97" i="63"/>
  <c r="L95" i="63"/>
  <c r="H95" i="63"/>
  <c r="L94" i="63"/>
  <c r="H94" i="63"/>
  <c r="L93" i="63"/>
  <c r="H93" i="63"/>
  <c r="L91" i="63"/>
  <c r="H91" i="63"/>
  <c r="L90" i="63"/>
  <c r="H90" i="63"/>
  <c r="L87" i="63"/>
  <c r="H87" i="63"/>
  <c r="L85" i="63"/>
  <c r="H85" i="63"/>
  <c r="L83" i="63"/>
  <c r="H83" i="63"/>
  <c r="L82" i="63"/>
  <c r="H82" i="63"/>
  <c r="L80" i="63"/>
  <c r="H80" i="63"/>
  <c r="L31" i="63"/>
  <c r="H31" i="63"/>
  <c r="L30" i="63"/>
  <c r="H30" i="63"/>
  <c r="L29" i="63"/>
  <c r="H29" i="63"/>
  <c r="L28" i="63"/>
  <c r="H28" i="63"/>
  <c r="L27" i="63"/>
  <c r="H27" i="63"/>
  <c r="L26" i="63"/>
  <c r="H26" i="63"/>
  <c r="L25" i="63"/>
  <c r="H25" i="63"/>
  <c r="L54" i="63"/>
  <c r="H54" i="63"/>
  <c r="L53" i="63"/>
  <c r="H53" i="63"/>
  <c r="L52" i="63"/>
  <c r="H52" i="63"/>
  <c r="L51" i="63"/>
  <c r="H51" i="63"/>
  <c r="L50" i="63"/>
  <c r="H50" i="63"/>
  <c r="L49" i="63"/>
  <c r="H49" i="63"/>
  <c r="L47" i="63"/>
  <c r="H47" i="63"/>
  <c r="H85" i="8"/>
  <c r="H84" i="8"/>
  <c r="C7" i="55"/>
  <c r="AL52" i="51"/>
  <c r="AL51" i="51"/>
  <c r="M508" i="57"/>
  <c r="K508" i="57"/>
  <c r="J508" i="57"/>
  <c r="K72" i="57"/>
  <c r="I190" i="63"/>
  <c r="L198" i="63"/>
  <c r="K198" i="63" s="1"/>
  <c r="I185" i="63"/>
  <c r="L173" i="63"/>
  <c r="I877" i="63" s="1"/>
  <c r="K173" i="63"/>
  <c r="I173" i="63"/>
  <c r="H184" i="63"/>
  <c r="J184" i="63" s="1"/>
  <c r="H183" i="63"/>
  <c r="J183" i="63" s="1"/>
  <c r="H182" i="63"/>
  <c r="J182" i="63" s="1"/>
  <c r="H181" i="63"/>
  <c r="J181" i="63" s="1"/>
  <c r="H180" i="63"/>
  <c r="J180" i="63" s="1"/>
  <c r="H179" i="63"/>
  <c r="J179" i="63" s="1"/>
  <c r="H177" i="63"/>
  <c r="J177" i="63" s="1"/>
  <c r="H176" i="63"/>
  <c r="J176" i="63" s="1"/>
  <c r="H175" i="63"/>
  <c r="J175" i="63" s="1"/>
  <c r="I168" i="63"/>
  <c r="I163" i="63"/>
  <c r="I157" i="63"/>
  <c r="I153" i="63"/>
  <c r="I140" i="63"/>
  <c r="L137" i="63"/>
  <c r="K137" i="63" s="1"/>
  <c r="I134" i="63"/>
  <c r="I126" i="63"/>
  <c r="I118" i="63"/>
  <c r="I112" i="63"/>
  <c r="I107" i="63"/>
  <c r="K23" i="57"/>
  <c r="M112" i="57"/>
  <c r="O112" i="57"/>
  <c r="XFD112" i="57"/>
  <c r="M113" i="57"/>
  <c r="O113" i="57"/>
  <c r="XFD113" i="57"/>
  <c r="M114" i="57"/>
  <c r="O114" i="57"/>
  <c r="XFD114" i="57"/>
  <c r="M115" i="57"/>
  <c r="O115" i="57"/>
  <c r="XFD115" i="57"/>
  <c r="M116" i="57"/>
  <c r="O116" i="57"/>
  <c r="XFD116" i="57"/>
  <c r="M117" i="57"/>
  <c r="O117" i="57"/>
  <c r="XFD117" i="57"/>
  <c r="M118" i="57"/>
  <c r="O118" i="57"/>
  <c r="XFD118" i="57"/>
  <c r="M119" i="57"/>
  <c r="O119" i="57"/>
  <c r="XFD119" i="57"/>
  <c r="M120" i="57"/>
  <c r="O120" i="57"/>
  <c r="XFD120" i="57"/>
  <c r="M121" i="57"/>
  <c r="O121" i="57"/>
  <c r="XFD121" i="57"/>
  <c r="M122" i="57"/>
  <c r="O122" i="57"/>
  <c r="XFD122" i="57"/>
  <c r="M123" i="57"/>
  <c r="O123" i="57"/>
  <c r="XFD123" i="57"/>
  <c r="M124" i="57"/>
  <c r="O124" i="57"/>
  <c r="XFD124" i="57"/>
  <c r="M125" i="57"/>
  <c r="O125" i="57"/>
  <c r="XFD125" i="57"/>
  <c r="M126" i="57"/>
  <c r="O126" i="57"/>
  <c r="XFD126" i="57"/>
  <c r="M127" i="57"/>
  <c r="O127" i="57"/>
  <c r="XFD127" i="57"/>
  <c r="M128" i="57"/>
  <c r="O128" i="57"/>
  <c r="XFD128" i="57"/>
  <c r="M129" i="57"/>
  <c r="O129" i="57"/>
  <c r="XFD129" i="57"/>
  <c r="M130" i="57"/>
  <c r="O130" i="57"/>
  <c r="XFD130" i="57"/>
  <c r="M131" i="57"/>
  <c r="O131" i="57"/>
  <c r="XFD131" i="57"/>
  <c r="M132" i="57"/>
  <c r="O132" i="57"/>
  <c r="XFD132" i="57"/>
  <c r="M133" i="57"/>
  <c r="O133" i="57"/>
  <c r="XFD133" i="57"/>
  <c r="M134" i="57"/>
  <c r="O134" i="57"/>
  <c r="XFD134" i="57"/>
  <c r="M135" i="57"/>
  <c r="O135" i="57"/>
  <c r="XFD135" i="57"/>
  <c r="M136" i="57"/>
  <c r="O136" i="57"/>
  <c r="XFD136" i="57"/>
  <c r="M137" i="57"/>
  <c r="O137" i="57"/>
  <c r="XFD137" i="57"/>
  <c r="M138" i="57"/>
  <c r="O138" i="57"/>
  <c r="XFD138" i="57"/>
  <c r="M139" i="57"/>
  <c r="O139" i="57"/>
  <c r="XFD139" i="57"/>
  <c r="M140" i="57"/>
  <c r="O140" i="57"/>
  <c r="XFD140" i="57"/>
  <c r="M141" i="57"/>
  <c r="O141" i="57"/>
  <c r="XFD141" i="57"/>
  <c r="M142" i="57"/>
  <c r="O142" i="57"/>
  <c r="XFD142" i="57"/>
  <c r="M143" i="57"/>
  <c r="O143" i="57"/>
  <c r="XFD143" i="57"/>
  <c r="M144" i="57"/>
  <c r="O144" i="57"/>
  <c r="XFD144" i="57"/>
  <c r="M145" i="57"/>
  <c r="O145" i="57"/>
  <c r="XFD145" i="57"/>
  <c r="M146" i="57"/>
  <c r="O146" i="57"/>
  <c r="XFD146" i="57"/>
  <c r="M147" i="57"/>
  <c r="O147" i="57"/>
  <c r="XFD147" i="57"/>
  <c r="M148" i="57"/>
  <c r="O148" i="57"/>
  <c r="XFD148" i="57"/>
  <c r="M149" i="57"/>
  <c r="O149" i="57"/>
  <c r="XFD149" i="57"/>
  <c r="M150" i="57"/>
  <c r="O150" i="57"/>
  <c r="XFD150" i="57"/>
  <c r="M151" i="57"/>
  <c r="O151" i="57"/>
  <c r="XFD151" i="57"/>
  <c r="M152" i="57"/>
  <c r="O152" i="57"/>
  <c r="XFD152" i="57"/>
  <c r="M153" i="57"/>
  <c r="O153" i="57"/>
  <c r="XFD153" i="57"/>
  <c r="M154" i="57"/>
  <c r="O154" i="57"/>
  <c r="XFD154" i="57"/>
  <c r="M155" i="57"/>
  <c r="O155" i="57"/>
  <c r="XFD155" i="57"/>
  <c r="M156" i="57"/>
  <c r="O156" i="57"/>
  <c r="XFD156" i="57"/>
  <c r="M157" i="57"/>
  <c r="O157" i="57"/>
  <c r="XFD157" i="57"/>
  <c r="M158" i="57"/>
  <c r="O158" i="57"/>
  <c r="XFD158" i="57"/>
  <c r="M159" i="57"/>
  <c r="O159" i="57"/>
  <c r="XFD159" i="57"/>
  <c r="M160" i="57"/>
  <c r="O160" i="57"/>
  <c r="XFD160" i="57"/>
  <c r="M161" i="57"/>
  <c r="O161" i="57"/>
  <c r="XFD161" i="57"/>
  <c r="M162" i="57"/>
  <c r="O162" i="57"/>
  <c r="XFD162" i="57"/>
  <c r="M163" i="57"/>
  <c r="O163" i="57"/>
  <c r="XFD163" i="57"/>
  <c r="M164" i="57"/>
  <c r="O164" i="57"/>
  <c r="XFD164" i="57"/>
  <c r="M165" i="57"/>
  <c r="O165" i="57"/>
  <c r="XFD165" i="57"/>
  <c r="M166" i="57"/>
  <c r="O166" i="57"/>
  <c r="XFD166" i="57"/>
  <c r="M167" i="57"/>
  <c r="O167" i="57"/>
  <c r="XFD167" i="57"/>
  <c r="M168" i="57"/>
  <c r="O168" i="57"/>
  <c r="XFD168" i="57"/>
  <c r="M169" i="57"/>
  <c r="O169" i="57"/>
  <c r="XFD169" i="57"/>
  <c r="M170" i="57"/>
  <c r="O170" i="57"/>
  <c r="XFD170" i="57"/>
  <c r="M171" i="57"/>
  <c r="O171" i="57"/>
  <c r="XFD171" i="57"/>
  <c r="M172" i="57"/>
  <c r="O172" i="57"/>
  <c r="XFD172" i="57"/>
  <c r="M173" i="57"/>
  <c r="O173" i="57"/>
  <c r="XFD173" i="57"/>
  <c r="M174" i="57"/>
  <c r="O174" i="57"/>
  <c r="XFD174" i="57"/>
  <c r="M175" i="57"/>
  <c r="O175" i="57"/>
  <c r="XFD175" i="57"/>
  <c r="M176" i="57"/>
  <c r="O176" i="57"/>
  <c r="XFD176" i="57"/>
  <c r="M177" i="57"/>
  <c r="O177" i="57"/>
  <c r="XFD177" i="57"/>
  <c r="M178" i="57"/>
  <c r="O178" i="57"/>
  <c r="XFD178" i="57"/>
  <c r="M179" i="57"/>
  <c r="O179" i="57"/>
  <c r="XFD179" i="57"/>
  <c r="M180" i="57"/>
  <c r="O180" i="57"/>
  <c r="XFD180" i="57"/>
  <c r="M181" i="57"/>
  <c r="O181" i="57"/>
  <c r="XFD181" i="57"/>
  <c r="I100" i="63"/>
  <c r="I89" i="63"/>
  <c r="I78" i="63"/>
  <c r="I72" i="63"/>
  <c r="L76" i="63"/>
  <c r="H76" i="63"/>
  <c r="L75" i="63"/>
  <c r="H75" i="63"/>
  <c r="I67" i="63"/>
  <c r="L65" i="63"/>
  <c r="H65" i="63"/>
  <c r="L64" i="63"/>
  <c r="H64" i="63"/>
  <c r="L63" i="63"/>
  <c r="H63" i="63"/>
  <c r="L62" i="63"/>
  <c r="H62" i="63"/>
  <c r="L60" i="63"/>
  <c r="H60" i="63"/>
  <c r="L59" i="63"/>
  <c r="H59" i="63"/>
  <c r="L57" i="63"/>
  <c r="H57" i="63"/>
  <c r="L56" i="63"/>
  <c r="H56" i="63"/>
  <c r="I46" i="63"/>
  <c r="I33" i="63"/>
  <c r="L43" i="63"/>
  <c r="H43" i="63"/>
  <c r="L42" i="63"/>
  <c r="H42" i="63"/>
  <c r="L41" i="63"/>
  <c r="H41" i="63"/>
  <c r="L39" i="63"/>
  <c r="H39" i="63"/>
  <c r="L38" i="63"/>
  <c r="H38" i="63"/>
  <c r="L37" i="63"/>
  <c r="H37" i="63"/>
  <c r="L36" i="63"/>
  <c r="H36" i="63"/>
  <c r="L34" i="63"/>
  <c r="H34" i="63"/>
  <c r="I24" i="63"/>
  <c r="I10" i="63"/>
  <c r="L23" i="63"/>
  <c r="H23" i="63"/>
  <c r="L22" i="63"/>
  <c r="H22" i="63"/>
  <c r="L20" i="63"/>
  <c r="H20" i="63"/>
  <c r="L19" i="63"/>
  <c r="H19" i="63"/>
  <c r="L17" i="63"/>
  <c r="H17" i="63"/>
  <c r="L14" i="63"/>
  <c r="H14" i="63"/>
  <c r="L13" i="63"/>
  <c r="H13" i="63"/>
  <c r="L12" i="63"/>
  <c r="H12" i="63"/>
  <c r="L11" i="63"/>
  <c r="H11" i="63"/>
  <c r="L8" i="63"/>
  <c r="H8" i="63"/>
  <c r="I5" i="63"/>
  <c r="J83" i="57"/>
  <c r="K22" i="57"/>
  <c r="K21" i="57"/>
  <c r="K20" i="57"/>
  <c r="K19" i="57"/>
  <c r="K18" i="57"/>
  <c r="K17" i="57"/>
  <c r="K16" i="57"/>
  <c r="K15" i="57"/>
  <c r="K14" i="57"/>
  <c r="K13" i="57"/>
  <c r="K12" i="57"/>
  <c r="C5" i="56"/>
  <c r="D145" i="7"/>
  <c r="I32" i="63" l="1"/>
  <c r="I593" i="63"/>
  <c r="I9" i="63"/>
  <c r="I199" i="63"/>
  <c r="I240" i="63"/>
  <c r="J924" i="63"/>
  <c r="J926" i="63"/>
  <c r="J928" i="63"/>
  <c r="J908" i="63"/>
  <c r="H909" i="63"/>
  <c r="J909" i="63" s="1"/>
  <c r="J898" i="63"/>
  <c r="J902" i="63"/>
  <c r="J896" i="63"/>
  <c r="J927" i="63"/>
  <c r="J907" i="63"/>
  <c r="J899" i="63"/>
  <c r="K491" i="63"/>
  <c r="K566" i="63"/>
  <c r="K150" i="63"/>
  <c r="K152" i="63"/>
  <c r="K155" i="63"/>
  <c r="K170" i="63"/>
  <c r="K172" i="63"/>
  <c r="K187" i="63"/>
  <c r="K189" i="63"/>
  <c r="K192" i="63"/>
  <c r="K194" i="63"/>
  <c r="K196" i="63"/>
  <c r="K160" i="63"/>
  <c r="K162" i="63"/>
  <c r="K142" i="63"/>
  <c r="K146" i="63"/>
  <c r="K148" i="63"/>
  <c r="K557" i="63"/>
  <c r="K392" i="63"/>
  <c r="J367" i="63"/>
  <c r="J366" i="63" s="1"/>
  <c r="J392" i="63"/>
  <c r="H490" i="63"/>
  <c r="K520" i="63"/>
  <c r="L490" i="63"/>
  <c r="J345" i="63"/>
  <c r="J353" i="63"/>
  <c r="J422" i="63"/>
  <c r="J491" i="63"/>
  <c r="K576" i="63"/>
  <c r="K367" i="63"/>
  <c r="K366" i="63" s="1"/>
  <c r="K345" i="63"/>
  <c r="K353" i="63"/>
  <c r="J496" i="63"/>
  <c r="J520" i="63"/>
  <c r="J584" i="63"/>
  <c r="K323" i="63"/>
  <c r="J576" i="63"/>
  <c r="K397" i="63"/>
  <c r="J397" i="63"/>
  <c r="K584" i="63"/>
  <c r="K496" i="63"/>
  <c r="K422" i="63"/>
  <c r="J566" i="63"/>
  <c r="J557" i="63"/>
  <c r="J323" i="63"/>
  <c r="K158" i="63"/>
  <c r="K161" i="63"/>
  <c r="K143" i="63"/>
  <c r="K145" i="63"/>
  <c r="K147" i="63"/>
  <c r="K149" i="63"/>
  <c r="K154" i="63"/>
  <c r="K156" i="63"/>
  <c r="K171" i="63"/>
  <c r="K186" i="63"/>
  <c r="K188" i="63"/>
  <c r="K191" i="63"/>
  <c r="K193" i="63"/>
  <c r="K195" i="63"/>
  <c r="K197" i="63"/>
  <c r="J191" i="63"/>
  <c r="J192" i="63"/>
  <c r="J193" i="63"/>
  <c r="J194" i="63"/>
  <c r="J195" i="63"/>
  <c r="J196" i="63"/>
  <c r="J197" i="63"/>
  <c r="J186" i="63"/>
  <c r="J187" i="63"/>
  <c r="J188" i="63"/>
  <c r="J189" i="63"/>
  <c r="J170" i="63"/>
  <c r="J171" i="63"/>
  <c r="J172" i="63"/>
  <c r="J154" i="63"/>
  <c r="J155" i="63"/>
  <c r="J156" i="63"/>
  <c r="J142" i="63"/>
  <c r="J143" i="63"/>
  <c r="J145" i="63"/>
  <c r="J146" i="63"/>
  <c r="J147" i="63"/>
  <c r="J148" i="63"/>
  <c r="J149" i="63"/>
  <c r="J150" i="63"/>
  <c r="J152" i="63"/>
  <c r="J158" i="63"/>
  <c r="J160" i="63"/>
  <c r="J161" i="63"/>
  <c r="J162" i="63"/>
  <c r="K47" i="63"/>
  <c r="K50" i="63"/>
  <c r="K52" i="63"/>
  <c r="K54" i="63"/>
  <c r="K26" i="63"/>
  <c r="K28" i="63"/>
  <c r="K30" i="63"/>
  <c r="K80" i="63"/>
  <c r="K82" i="63"/>
  <c r="K90" i="63"/>
  <c r="K94" i="63"/>
  <c r="K101" i="63"/>
  <c r="K103" i="63"/>
  <c r="K105" i="63"/>
  <c r="K113" i="63"/>
  <c r="K115" i="63"/>
  <c r="K121" i="63"/>
  <c r="K123" i="63"/>
  <c r="K128" i="63"/>
  <c r="K130" i="63"/>
  <c r="K132" i="63"/>
  <c r="K135" i="63"/>
  <c r="K116" i="63"/>
  <c r="K120" i="63"/>
  <c r="K122" i="63"/>
  <c r="K124" i="63"/>
  <c r="K127" i="63"/>
  <c r="K129" i="63"/>
  <c r="K136" i="63"/>
  <c r="K49" i="63"/>
  <c r="K51" i="63"/>
  <c r="K53" i="63"/>
  <c r="K25" i="63"/>
  <c r="K27" i="63"/>
  <c r="K29" i="63"/>
  <c r="K31" i="63"/>
  <c r="K83" i="63"/>
  <c r="K85" i="63"/>
  <c r="K87" i="63"/>
  <c r="K91" i="63"/>
  <c r="K93" i="63"/>
  <c r="K95" i="63"/>
  <c r="K97" i="63"/>
  <c r="K99" i="63"/>
  <c r="K102" i="63"/>
  <c r="K104" i="63"/>
  <c r="K106" i="63"/>
  <c r="K111" i="63"/>
  <c r="K110" i="63"/>
  <c r="K114" i="63"/>
  <c r="K131" i="63"/>
  <c r="K133" i="63"/>
  <c r="J135" i="63"/>
  <c r="J136" i="63"/>
  <c r="J127" i="63"/>
  <c r="J128" i="63"/>
  <c r="J129" i="63"/>
  <c r="J130" i="63"/>
  <c r="J131" i="63"/>
  <c r="J132" i="63"/>
  <c r="J133" i="63"/>
  <c r="J120" i="63"/>
  <c r="J121" i="63"/>
  <c r="J122" i="63"/>
  <c r="J123" i="63"/>
  <c r="J124" i="63"/>
  <c r="J113" i="63"/>
  <c r="J114" i="63"/>
  <c r="J115" i="63"/>
  <c r="J116" i="63"/>
  <c r="J110" i="63"/>
  <c r="J111" i="63"/>
  <c r="J101" i="63"/>
  <c r="J102" i="63"/>
  <c r="J103" i="63"/>
  <c r="J104" i="63"/>
  <c r="J105" i="63"/>
  <c r="J106" i="63"/>
  <c r="J90" i="63"/>
  <c r="J91" i="63"/>
  <c r="J93" i="63"/>
  <c r="J94" i="63"/>
  <c r="J95" i="63"/>
  <c r="J97" i="63"/>
  <c r="J99" i="63"/>
  <c r="J80" i="63"/>
  <c r="J82" i="63"/>
  <c r="J83" i="63"/>
  <c r="J85" i="63"/>
  <c r="J87" i="63"/>
  <c r="J25" i="63"/>
  <c r="J26" i="63"/>
  <c r="J27" i="63"/>
  <c r="J28" i="63"/>
  <c r="J29" i="63"/>
  <c r="J30" i="63"/>
  <c r="J31" i="63"/>
  <c r="J47" i="63"/>
  <c r="J49" i="63"/>
  <c r="J50" i="63"/>
  <c r="J51" i="63"/>
  <c r="J52" i="63"/>
  <c r="J53" i="63"/>
  <c r="J54" i="63"/>
  <c r="I117" i="63"/>
  <c r="K34" i="63"/>
  <c r="K36" i="63"/>
  <c r="K38" i="63"/>
  <c r="K42" i="63"/>
  <c r="L153" i="63"/>
  <c r="I872" i="63" s="1"/>
  <c r="L185" i="63"/>
  <c r="I878" i="63" s="1"/>
  <c r="K57" i="63"/>
  <c r="K59" i="63"/>
  <c r="K63" i="63"/>
  <c r="K65" i="63"/>
  <c r="K76" i="63"/>
  <c r="L126" i="63"/>
  <c r="L100" i="63"/>
  <c r="H185" i="63"/>
  <c r="H878" i="63" s="1"/>
  <c r="H190" i="63"/>
  <c r="H879" i="63" s="1"/>
  <c r="L190" i="63"/>
  <c r="I879" i="63" s="1"/>
  <c r="L112" i="63"/>
  <c r="I866" i="63" s="1"/>
  <c r="H112" i="63"/>
  <c r="H866" i="63" s="1"/>
  <c r="H134" i="63"/>
  <c r="H868" i="63" s="1"/>
  <c r="K37" i="63"/>
  <c r="K39" i="63"/>
  <c r="K41" i="63"/>
  <c r="K43" i="63"/>
  <c r="H153" i="63"/>
  <c r="H872" i="63" s="1"/>
  <c r="H100" i="63"/>
  <c r="K56" i="63"/>
  <c r="K60" i="63"/>
  <c r="K62" i="63"/>
  <c r="K64" i="63"/>
  <c r="K75" i="63"/>
  <c r="H126" i="63"/>
  <c r="L134" i="63"/>
  <c r="I868" i="63" s="1"/>
  <c r="J137" i="63"/>
  <c r="I88" i="63"/>
  <c r="J75" i="63"/>
  <c r="J76" i="63"/>
  <c r="J56" i="63"/>
  <c r="J57" i="63"/>
  <c r="J59" i="63"/>
  <c r="J60" i="63"/>
  <c r="J62" i="63"/>
  <c r="J63" i="63"/>
  <c r="J64" i="63"/>
  <c r="J65" i="63"/>
  <c r="J34" i="63"/>
  <c r="J36" i="63"/>
  <c r="J37" i="63"/>
  <c r="J38" i="63"/>
  <c r="J39" i="63"/>
  <c r="J41" i="63"/>
  <c r="J42" i="63"/>
  <c r="J43" i="63"/>
  <c r="K12" i="63"/>
  <c r="K14" i="63"/>
  <c r="K20" i="63"/>
  <c r="K22" i="63"/>
  <c r="K8" i="63"/>
  <c r="L24" i="63"/>
  <c r="K11" i="63"/>
  <c r="K13" i="63"/>
  <c r="K17" i="63"/>
  <c r="K19" i="63"/>
  <c r="K23" i="63"/>
  <c r="H24" i="63"/>
  <c r="J11" i="63"/>
  <c r="J12" i="63"/>
  <c r="J13" i="63"/>
  <c r="J14" i="63"/>
  <c r="J17" i="63"/>
  <c r="J19" i="63"/>
  <c r="J20" i="63"/>
  <c r="J22" i="63"/>
  <c r="J23" i="63"/>
  <c r="J8" i="63"/>
  <c r="Q56" i="51"/>
  <c r="Q54" i="51"/>
  <c r="Q52" i="51"/>
  <c r="Q44" i="51"/>
  <c r="Q42" i="51"/>
  <c r="Q40" i="51"/>
  <c r="Q38" i="51"/>
  <c r="Q43" i="51"/>
  <c r="Q41" i="51"/>
  <c r="Q39" i="51"/>
  <c r="I138" i="63" l="1"/>
  <c r="I200" i="63" s="1"/>
  <c r="J879" i="63"/>
  <c r="F977" i="63" s="1"/>
  <c r="J866" i="63"/>
  <c r="J868" i="63"/>
  <c r="J872" i="63"/>
  <c r="J878" i="63"/>
  <c r="K490" i="63"/>
  <c r="J490" i="63"/>
  <c r="K134" i="63"/>
  <c r="J134" i="63"/>
  <c r="K185" i="63"/>
  <c r="K153" i="63"/>
  <c r="K190" i="63"/>
  <c r="K100" i="63"/>
  <c r="K126" i="63"/>
  <c r="J126" i="63"/>
  <c r="J190" i="63"/>
  <c r="J100" i="63"/>
  <c r="J112" i="63"/>
  <c r="J153" i="63"/>
  <c r="K112" i="63"/>
  <c r="J185" i="63"/>
  <c r="J24" i="63"/>
  <c r="K24" i="63"/>
  <c r="D77" i="50"/>
  <c r="Q125" i="50"/>
  <c r="P124" i="50"/>
  <c r="Q120" i="50"/>
  <c r="P121" i="50" s="1"/>
  <c r="Q117" i="50"/>
  <c r="M14" i="59"/>
  <c r="F14" i="59"/>
  <c r="N13" i="59"/>
  <c r="M13" i="59"/>
  <c r="G13" i="59"/>
  <c r="F13" i="59"/>
  <c r="H132" i="59"/>
  <c r="G977" i="63" l="1"/>
  <c r="H977" i="63" s="1"/>
  <c r="F957" i="63"/>
  <c r="G957" i="63"/>
  <c r="F972" i="63"/>
  <c r="G952" i="63"/>
  <c r="F952" i="63"/>
  <c r="G972" i="63"/>
  <c r="G7" i="61"/>
  <c r="Q126" i="50"/>
  <c r="H7" i="61" l="1"/>
  <c r="I7" i="61" s="1"/>
  <c r="F18" i="61" s="1"/>
  <c r="F21" i="61" s="1"/>
  <c r="F24" i="61" s="1"/>
  <c r="F17" i="61"/>
  <c r="F19" i="61" s="1"/>
  <c r="F25" i="61" s="1"/>
  <c r="H957" i="63"/>
  <c r="H952" i="63"/>
  <c r="H972" i="63"/>
  <c r="B64" i="60"/>
  <c r="B55" i="60"/>
  <c r="Z39" i="60"/>
  <c r="AA38" i="60"/>
  <c r="R2" i="60"/>
  <c r="B30" i="60"/>
  <c r="B21" i="60"/>
  <c r="E142" i="59"/>
  <c r="M132" i="59"/>
  <c r="E140" i="59" s="1"/>
  <c r="L132" i="59"/>
  <c r="K132" i="59"/>
  <c r="J132" i="59"/>
  <c r="I132" i="59"/>
  <c r="E139" i="59"/>
  <c r="G132" i="59"/>
  <c r="E138" i="59" s="1"/>
  <c r="F132" i="59"/>
  <c r="E137" i="59" s="1"/>
  <c r="E132" i="59"/>
  <c r="N131" i="59"/>
  <c r="N130" i="59"/>
  <c r="N129" i="59"/>
  <c r="N128" i="59"/>
  <c r="N127" i="59"/>
  <c r="N126" i="59"/>
  <c r="N125" i="59"/>
  <c r="N124" i="59"/>
  <c r="N123" i="59"/>
  <c r="N122" i="59"/>
  <c r="N121" i="59"/>
  <c r="N120" i="59"/>
  <c r="N119" i="59"/>
  <c r="N118" i="59"/>
  <c r="N117" i="59"/>
  <c r="N116" i="59"/>
  <c r="N115" i="59"/>
  <c r="N114" i="59"/>
  <c r="N113" i="59"/>
  <c r="N112" i="59"/>
  <c r="N111" i="59"/>
  <c r="N110" i="59"/>
  <c r="N109" i="59"/>
  <c r="N108" i="59"/>
  <c r="N107" i="59"/>
  <c r="N106" i="59"/>
  <c r="N105" i="59"/>
  <c r="N104" i="59"/>
  <c r="N103" i="59"/>
  <c r="N102" i="59"/>
  <c r="N101" i="59"/>
  <c r="N100" i="59"/>
  <c r="N99" i="59"/>
  <c r="N98" i="59"/>
  <c r="N97" i="59"/>
  <c r="N96" i="59"/>
  <c r="N95" i="59"/>
  <c r="N94" i="59"/>
  <c r="N93" i="59"/>
  <c r="N92" i="59"/>
  <c r="N91" i="59"/>
  <c r="N90" i="59"/>
  <c r="N89" i="59"/>
  <c r="N88" i="59"/>
  <c r="N87" i="59"/>
  <c r="N86" i="59"/>
  <c r="N85" i="59"/>
  <c r="N84" i="59"/>
  <c r="N83" i="59"/>
  <c r="N82" i="59"/>
  <c r="N81" i="59"/>
  <c r="N80" i="59"/>
  <c r="N79" i="59"/>
  <c r="N78" i="59"/>
  <c r="N77" i="59"/>
  <c r="N76" i="59"/>
  <c r="N75" i="59"/>
  <c r="N74" i="59"/>
  <c r="N73" i="59"/>
  <c r="N72" i="59"/>
  <c r="N71" i="59"/>
  <c r="N70" i="59"/>
  <c r="N69" i="59"/>
  <c r="N68" i="59"/>
  <c r="N67" i="59"/>
  <c r="N66" i="59"/>
  <c r="N65" i="59"/>
  <c r="N64" i="59"/>
  <c r="N63" i="59"/>
  <c r="N62" i="59"/>
  <c r="N61" i="59"/>
  <c r="N60" i="59"/>
  <c r="N59" i="59"/>
  <c r="N58" i="59"/>
  <c r="N57" i="59"/>
  <c r="N56" i="59"/>
  <c r="N55" i="59"/>
  <c r="N54" i="59"/>
  <c r="N53" i="59"/>
  <c r="N52" i="59"/>
  <c r="N51" i="59"/>
  <c r="N50" i="59"/>
  <c r="N49" i="59"/>
  <c r="N48" i="59"/>
  <c r="N47" i="59"/>
  <c r="N46" i="59"/>
  <c r="N45" i="59"/>
  <c r="N44" i="59"/>
  <c r="N43" i="59"/>
  <c r="N42" i="59"/>
  <c r="N41" i="59"/>
  <c r="N40" i="59"/>
  <c r="N39" i="59"/>
  <c r="N38" i="59"/>
  <c r="N37" i="59"/>
  <c r="N36" i="59"/>
  <c r="N35" i="59"/>
  <c r="N34" i="59"/>
  <c r="N33" i="59"/>
  <c r="N32" i="59"/>
  <c r="N31" i="59"/>
  <c r="N30" i="59"/>
  <c r="N29" i="59"/>
  <c r="N28" i="59"/>
  <c r="N27" i="59"/>
  <c r="N26" i="59"/>
  <c r="N25" i="59"/>
  <c r="N24" i="59"/>
  <c r="N23" i="59"/>
  <c r="N22" i="59"/>
  <c r="N21" i="59"/>
  <c r="N20" i="59"/>
  <c r="N19" i="59"/>
  <c r="N18" i="59"/>
  <c r="N17" i="59"/>
  <c r="N16" i="59"/>
  <c r="N15" i="59"/>
  <c r="N14" i="59"/>
  <c r="XFD507" i="57"/>
  <c r="O507" i="57"/>
  <c r="M507" i="57"/>
  <c r="XFD506" i="57"/>
  <c r="O506" i="57"/>
  <c r="M506" i="57"/>
  <c r="XFD505" i="57"/>
  <c r="O505" i="57"/>
  <c r="M505" i="57"/>
  <c r="XFD504" i="57"/>
  <c r="O504" i="57"/>
  <c r="M504" i="57"/>
  <c r="XFD503" i="57"/>
  <c r="O503" i="57"/>
  <c r="M503" i="57"/>
  <c r="XFD502" i="57"/>
  <c r="O502" i="57"/>
  <c r="M502" i="57"/>
  <c r="XFD501" i="57"/>
  <c r="O501" i="57"/>
  <c r="M501" i="57"/>
  <c r="XFD500" i="57"/>
  <c r="O500" i="57"/>
  <c r="M500" i="57"/>
  <c r="XFD499" i="57"/>
  <c r="O499" i="57"/>
  <c r="M499" i="57"/>
  <c r="XFD498" i="57"/>
  <c r="O498" i="57"/>
  <c r="M498" i="57"/>
  <c r="XFD497" i="57"/>
  <c r="O497" i="57"/>
  <c r="M497" i="57"/>
  <c r="XFD496" i="57"/>
  <c r="O496" i="57"/>
  <c r="M496" i="57"/>
  <c r="XFD495" i="57"/>
  <c r="O495" i="57"/>
  <c r="M495" i="57"/>
  <c r="XFD494" i="57"/>
  <c r="O494" i="57"/>
  <c r="M494" i="57"/>
  <c r="XFD493" i="57"/>
  <c r="O493" i="57"/>
  <c r="M493" i="57"/>
  <c r="XFD492" i="57"/>
  <c r="O492" i="57"/>
  <c r="M492" i="57"/>
  <c r="XFD491" i="57"/>
  <c r="O491" i="57"/>
  <c r="M491" i="57"/>
  <c r="XFD490" i="57"/>
  <c r="O490" i="57"/>
  <c r="M490" i="57"/>
  <c r="XFD489" i="57"/>
  <c r="O489" i="57"/>
  <c r="M489" i="57"/>
  <c r="XFD488" i="57"/>
  <c r="O488" i="57"/>
  <c r="M488" i="57"/>
  <c r="XFD487" i="57"/>
  <c r="O487" i="57"/>
  <c r="M487" i="57"/>
  <c r="XFD486" i="57"/>
  <c r="O486" i="57"/>
  <c r="M486" i="57"/>
  <c r="XFD485" i="57"/>
  <c r="O485" i="57"/>
  <c r="M485" i="57"/>
  <c r="XFD484" i="57"/>
  <c r="O484" i="57"/>
  <c r="M484" i="57"/>
  <c r="XFD483" i="57"/>
  <c r="O483" i="57"/>
  <c r="M483" i="57"/>
  <c r="XFD482" i="57"/>
  <c r="O482" i="57"/>
  <c r="M482" i="57"/>
  <c r="XFD481" i="57"/>
  <c r="O481" i="57"/>
  <c r="M481" i="57"/>
  <c r="XFD480" i="57"/>
  <c r="O480" i="57"/>
  <c r="M480" i="57"/>
  <c r="XFD479" i="57"/>
  <c r="O479" i="57"/>
  <c r="M479" i="57"/>
  <c r="XFD478" i="57"/>
  <c r="O478" i="57"/>
  <c r="M478" i="57"/>
  <c r="XFD477" i="57"/>
  <c r="O477" i="57"/>
  <c r="M477" i="57"/>
  <c r="XFD476" i="57"/>
  <c r="O476" i="57"/>
  <c r="M476" i="57"/>
  <c r="XFD475" i="57"/>
  <c r="O475" i="57"/>
  <c r="M475" i="57"/>
  <c r="XFD474" i="57"/>
  <c r="O474" i="57"/>
  <c r="M474" i="57"/>
  <c r="XFD473" i="57"/>
  <c r="O473" i="57"/>
  <c r="M473" i="57"/>
  <c r="XFD472" i="57"/>
  <c r="O472" i="57"/>
  <c r="M472" i="57"/>
  <c r="XFD471" i="57"/>
  <c r="O471" i="57"/>
  <c r="M471" i="57"/>
  <c r="XFD470" i="57"/>
  <c r="O470" i="57"/>
  <c r="M470" i="57"/>
  <c r="XFD469" i="57"/>
  <c r="O469" i="57"/>
  <c r="M469" i="57"/>
  <c r="XFD468" i="57"/>
  <c r="O468" i="57"/>
  <c r="M468" i="57"/>
  <c r="XFD467" i="57"/>
  <c r="O467" i="57"/>
  <c r="M467" i="57"/>
  <c r="XFD466" i="57"/>
  <c r="O466" i="57"/>
  <c r="M466" i="57"/>
  <c r="XFD465" i="57"/>
  <c r="O465" i="57"/>
  <c r="M465" i="57"/>
  <c r="XFD464" i="57"/>
  <c r="O464" i="57"/>
  <c r="M464" i="57"/>
  <c r="XFD463" i="57"/>
  <c r="O463" i="57"/>
  <c r="M463" i="57"/>
  <c r="XFD462" i="57"/>
  <c r="O462" i="57"/>
  <c r="M462" i="57"/>
  <c r="XFD461" i="57"/>
  <c r="O461" i="57"/>
  <c r="M461" i="57"/>
  <c r="XFD460" i="57"/>
  <c r="O460" i="57"/>
  <c r="M460" i="57"/>
  <c r="XFD459" i="57"/>
  <c r="O459" i="57"/>
  <c r="M459" i="57"/>
  <c r="XFD458" i="57"/>
  <c r="O458" i="57"/>
  <c r="M458" i="57"/>
  <c r="XFD457" i="57"/>
  <c r="O457" i="57"/>
  <c r="M457" i="57"/>
  <c r="XFD456" i="57"/>
  <c r="O456" i="57"/>
  <c r="M456" i="57"/>
  <c r="XFD455" i="57"/>
  <c r="O455" i="57"/>
  <c r="M455" i="57"/>
  <c r="XFD454" i="57"/>
  <c r="O454" i="57"/>
  <c r="M454" i="57"/>
  <c r="XFD453" i="57"/>
  <c r="O453" i="57"/>
  <c r="M453" i="57"/>
  <c r="XFD452" i="57"/>
  <c r="O452" i="57"/>
  <c r="M452" i="57"/>
  <c r="XFD451" i="57"/>
  <c r="O451" i="57"/>
  <c r="M451" i="57"/>
  <c r="XFD450" i="57"/>
  <c r="O450" i="57"/>
  <c r="M450" i="57"/>
  <c r="XFD449" i="57"/>
  <c r="O449" i="57"/>
  <c r="M449" i="57"/>
  <c r="XFD448" i="57"/>
  <c r="O448" i="57"/>
  <c r="M448" i="57"/>
  <c r="XFD447" i="57"/>
  <c r="O447" i="57"/>
  <c r="M447" i="57"/>
  <c r="XFD446" i="57"/>
  <c r="O446" i="57"/>
  <c r="M446" i="57"/>
  <c r="XFD445" i="57"/>
  <c r="O445" i="57"/>
  <c r="M445" i="57"/>
  <c r="XFD444" i="57"/>
  <c r="O444" i="57"/>
  <c r="M444" i="57"/>
  <c r="XFD443" i="57"/>
  <c r="O443" i="57"/>
  <c r="M443" i="57"/>
  <c r="XFD442" i="57"/>
  <c r="O442" i="57"/>
  <c r="M442" i="57"/>
  <c r="XFD441" i="57"/>
  <c r="O441" i="57"/>
  <c r="M441" i="57"/>
  <c r="XFD440" i="57"/>
  <c r="O440" i="57"/>
  <c r="M440" i="57"/>
  <c r="XFD439" i="57"/>
  <c r="O439" i="57"/>
  <c r="M439" i="57"/>
  <c r="XFD438" i="57"/>
  <c r="O438" i="57"/>
  <c r="M438" i="57"/>
  <c r="XFD437" i="57"/>
  <c r="O437" i="57"/>
  <c r="M437" i="57"/>
  <c r="XFD436" i="57"/>
  <c r="O436" i="57"/>
  <c r="M436" i="57"/>
  <c r="XFD435" i="57"/>
  <c r="O435" i="57"/>
  <c r="M435" i="57"/>
  <c r="XFD434" i="57"/>
  <c r="O434" i="57"/>
  <c r="M434" i="57"/>
  <c r="XFD433" i="57"/>
  <c r="O433" i="57"/>
  <c r="M433" i="57"/>
  <c r="XFD432" i="57"/>
  <c r="O432" i="57"/>
  <c r="M432" i="57"/>
  <c r="XFD431" i="57"/>
  <c r="O431" i="57"/>
  <c r="M431" i="57"/>
  <c r="XFD430" i="57"/>
  <c r="O430" i="57"/>
  <c r="M430" i="57"/>
  <c r="XFD429" i="57"/>
  <c r="O429" i="57"/>
  <c r="M429" i="57"/>
  <c r="XFD428" i="57"/>
  <c r="O428" i="57"/>
  <c r="M428" i="57"/>
  <c r="XFD427" i="57"/>
  <c r="O427" i="57"/>
  <c r="M427" i="57"/>
  <c r="XFD426" i="57"/>
  <c r="O426" i="57"/>
  <c r="M426" i="57"/>
  <c r="XFD425" i="57"/>
  <c r="O425" i="57"/>
  <c r="M425" i="57"/>
  <c r="XFD424" i="57"/>
  <c r="O424" i="57"/>
  <c r="M424" i="57"/>
  <c r="XFD423" i="57"/>
  <c r="O423" i="57"/>
  <c r="M423" i="57"/>
  <c r="XFD422" i="57"/>
  <c r="O422" i="57"/>
  <c r="M422" i="57"/>
  <c r="XFD421" i="57"/>
  <c r="O421" i="57"/>
  <c r="M421" i="57"/>
  <c r="XFD420" i="57"/>
  <c r="O420" i="57"/>
  <c r="M420" i="57"/>
  <c r="XFD419" i="57"/>
  <c r="O419" i="57"/>
  <c r="M419" i="57"/>
  <c r="XFD418" i="57"/>
  <c r="O418" i="57"/>
  <c r="M418" i="57"/>
  <c r="XFD417" i="57"/>
  <c r="O417" i="57"/>
  <c r="M417" i="57"/>
  <c r="XFD416" i="57"/>
  <c r="O416" i="57"/>
  <c r="M416" i="57"/>
  <c r="XFD415" i="57"/>
  <c r="O415" i="57"/>
  <c r="M415" i="57"/>
  <c r="XFD414" i="57"/>
  <c r="O414" i="57"/>
  <c r="M414" i="57"/>
  <c r="XFD413" i="57"/>
  <c r="O413" i="57"/>
  <c r="M413" i="57"/>
  <c r="XFD412" i="57"/>
  <c r="O412" i="57"/>
  <c r="M412" i="57"/>
  <c r="XFD411" i="57"/>
  <c r="O411" i="57"/>
  <c r="M411" i="57"/>
  <c r="XFD410" i="57"/>
  <c r="O410" i="57"/>
  <c r="M410" i="57"/>
  <c r="XFD409" i="57"/>
  <c r="O409" i="57"/>
  <c r="M409" i="57"/>
  <c r="XFD408" i="57"/>
  <c r="O408" i="57"/>
  <c r="M408" i="57"/>
  <c r="XFD407" i="57"/>
  <c r="O407" i="57"/>
  <c r="M407" i="57"/>
  <c r="XFD406" i="57"/>
  <c r="O406" i="57"/>
  <c r="M406" i="57"/>
  <c r="XFD405" i="57"/>
  <c r="O405" i="57"/>
  <c r="M405" i="57"/>
  <c r="XFD404" i="57"/>
  <c r="O404" i="57"/>
  <c r="M404" i="57"/>
  <c r="XFD403" i="57"/>
  <c r="O403" i="57"/>
  <c r="M403" i="57"/>
  <c r="XFD402" i="57"/>
  <c r="O402" i="57"/>
  <c r="M402" i="57"/>
  <c r="XFD401" i="57"/>
  <c r="O401" i="57"/>
  <c r="M401" i="57"/>
  <c r="XFD400" i="57"/>
  <c r="O400" i="57"/>
  <c r="M400" i="57"/>
  <c r="XFD399" i="57"/>
  <c r="O399" i="57"/>
  <c r="M399" i="57"/>
  <c r="XFD398" i="57"/>
  <c r="O398" i="57"/>
  <c r="M398" i="57"/>
  <c r="XFD397" i="57"/>
  <c r="O397" i="57"/>
  <c r="M397" i="57"/>
  <c r="XFD396" i="57"/>
  <c r="O396" i="57"/>
  <c r="M396" i="57"/>
  <c r="XFD395" i="57"/>
  <c r="O395" i="57"/>
  <c r="M395" i="57"/>
  <c r="XFD394" i="57"/>
  <c r="O394" i="57"/>
  <c r="M394" i="57"/>
  <c r="XFD393" i="57"/>
  <c r="O393" i="57"/>
  <c r="M393" i="57"/>
  <c r="XFD392" i="57"/>
  <c r="O392" i="57"/>
  <c r="M392" i="57"/>
  <c r="XFD391" i="57"/>
  <c r="O391" i="57"/>
  <c r="M391" i="57"/>
  <c r="XFD390" i="57"/>
  <c r="O390" i="57"/>
  <c r="M390" i="57"/>
  <c r="XFD389" i="57"/>
  <c r="O389" i="57"/>
  <c r="M389" i="57"/>
  <c r="XFD388" i="57"/>
  <c r="O388" i="57"/>
  <c r="M388" i="57"/>
  <c r="XFD387" i="57"/>
  <c r="O387" i="57"/>
  <c r="M387" i="57"/>
  <c r="XFD386" i="57"/>
  <c r="O386" i="57"/>
  <c r="M386" i="57"/>
  <c r="XFD385" i="57"/>
  <c r="O385" i="57"/>
  <c r="M385" i="57"/>
  <c r="XFD384" i="57"/>
  <c r="O384" i="57"/>
  <c r="M384" i="57"/>
  <c r="XFD383" i="57"/>
  <c r="O383" i="57"/>
  <c r="M383" i="57"/>
  <c r="XFD382" i="57"/>
  <c r="O382" i="57"/>
  <c r="M382" i="57"/>
  <c r="XFD381" i="57"/>
  <c r="O381" i="57"/>
  <c r="M381" i="57"/>
  <c r="XFD380" i="57"/>
  <c r="O380" i="57"/>
  <c r="M380" i="57"/>
  <c r="XFD379" i="57"/>
  <c r="O379" i="57"/>
  <c r="M379" i="57"/>
  <c r="XFD378" i="57"/>
  <c r="O378" i="57"/>
  <c r="M378" i="57"/>
  <c r="XFD377" i="57"/>
  <c r="O377" i="57"/>
  <c r="M377" i="57"/>
  <c r="XFD376" i="57"/>
  <c r="O376" i="57"/>
  <c r="M376" i="57"/>
  <c r="XFD375" i="57"/>
  <c r="O375" i="57"/>
  <c r="M375" i="57"/>
  <c r="XFD374" i="57"/>
  <c r="O374" i="57"/>
  <c r="M374" i="57"/>
  <c r="XFD373" i="57"/>
  <c r="O373" i="57"/>
  <c r="M373" i="57"/>
  <c r="XFD372" i="57"/>
  <c r="O372" i="57"/>
  <c r="M372" i="57"/>
  <c r="XFD371" i="57"/>
  <c r="O371" i="57"/>
  <c r="M371" i="57"/>
  <c r="XFD370" i="57"/>
  <c r="O370" i="57"/>
  <c r="M370" i="57"/>
  <c r="XFD369" i="57"/>
  <c r="O369" i="57"/>
  <c r="M369" i="57"/>
  <c r="XFD368" i="57"/>
  <c r="O368" i="57"/>
  <c r="M368" i="57"/>
  <c r="XFD367" i="57"/>
  <c r="O367" i="57"/>
  <c r="M367" i="57"/>
  <c r="XFD366" i="57"/>
  <c r="O366" i="57"/>
  <c r="M366" i="57"/>
  <c r="XFD365" i="57"/>
  <c r="O365" i="57"/>
  <c r="M365" i="57"/>
  <c r="XFD364" i="57"/>
  <c r="O364" i="57"/>
  <c r="M364" i="57"/>
  <c r="XFD363" i="57"/>
  <c r="O363" i="57"/>
  <c r="M363" i="57"/>
  <c r="XFD362" i="57"/>
  <c r="O362" i="57"/>
  <c r="M362" i="57"/>
  <c r="XFD361" i="57"/>
  <c r="O361" i="57"/>
  <c r="M361" i="57"/>
  <c r="XFD360" i="57"/>
  <c r="O360" i="57"/>
  <c r="M360" i="57"/>
  <c r="XFD359" i="57"/>
  <c r="O359" i="57"/>
  <c r="M359" i="57"/>
  <c r="XFD358" i="57"/>
  <c r="O358" i="57"/>
  <c r="M358" i="57"/>
  <c r="XFD357" i="57"/>
  <c r="O357" i="57"/>
  <c r="M357" i="57"/>
  <c r="XFD356" i="57"/>
  <c r="O356" i="57"/>
  <c r="M356" i="57"/>
  <c r="XFD355" i="57"/>
  <c r="O355" i="57"/>
  <c r="M355" i="57"/>
  <c r="XFD354" i="57"/>
  <c r="O354" i="57"/>
  <c r="M354" i="57"/>
  <c r="XFD353" i="57"/>
  <c r="O353" i="57"/>
  <c r="M353" i="57"/>
  <c r="XFD352" i="57"/>
  <c r="O352" i="57"/>
  <c r="M352" i="57"/>
  <c r="XFD351" i="57"/>
  <c r="O351" i="57"/>
  <c r="M351" i="57"/>
  <c r="XFD350" i="57"/>
  <c r="O350" i="57"/>
  <c r="M350" i="57"/>
  <c r="XFD349" i="57"/>
  <c r="O349" i="57"/>
  <c r="M349" i="57"/>
  <c r="XFD348" i="57"/>
  <c r="O348" i="57"/>
  <c r="M348" i="57"/>
  <c r="XFD347" i="57"/>
  <c r="O347" i="57"/>
  <c r="M347" i="57"/>
  <c r="XFD346" i="57"/>
  <c r="O346" i="57"/>
  <c r="M346" i="57"/>
  <c r="XFD345" i="57"/>
  <c r="O345" i="57"/>
  <c r="M345" i="57"/>
  <c r="XFD344" i="57"/>
  <c r="O344" i="57"/>
  <c r="M344" i="57"/>
  <c r="XFD343" i="57"/>
  <c r="O343" i="57"/>
  <c r="M343" i="57"/>
  <c r="XFD342" i="57"/>
  <c r="O342" i="57"/>
  <c r="M342" i="57"/>
  <c r="XFD341" i="57"/>
  <c r="O341" i="57"/>
  <c r="M341" i="57"/>
  <c r="XFD340" i="57"/>
  <c r="O340" i="57"/>
  <c r="M340" i="57"/>
  <c r="XFD339" i="57"/>
  <c r="O339" i="57"/>
  <c r="M339" i="57"/>
  <c r="XFD338" i="57"/>
  <c r="O338" i="57"/>
  <c r="M338" i="57"/>
  <c r="XFD337" i="57"/>
  <c r="O337" i="57"/>
  <c r="M337" i="57"/>
  <c r="XFD336" i="57"/>
  <c r="O336" i="57"/>
  <c r="M336" i="57"/>
  <c r="XFD335" i="57"/>
  <c r="O335" i="57"/>
  <c r="M335" i="57"/>
  <c r="XFD334" i="57"/>
  <c r="O334" i="57"/>
  <c r="M334" i="57"/>
  <c r="XFD333" i="57"/>
  <c r="O333" i="57"/>
  <c r="M333" i="57"/>
  <c r="XFD332" i="57"/>
  <c r="O332" i="57"/>
  <c r="M332" i="57"/>
  <c r="XFD331" i="57"/>
  <c r="O331" i="57"/>
  <c r="M331" i="57"/>
  <c r="XFD330" i="57"/>
  <c r="O330" i="57"/>
  <c r="M330" i="57"/>
  <c r="XFD329" i="57"/>
  <c r="O329" i="57"/>
  <c r="M329" i="57"/>
  <c r="XFD328" i="57"/>
  <c r="O328" i="57"/>
  <c r="M328" i="57"/>
  <c r="XFD327" i="57"/>
  <c r="O327" i="57"/>
  <c r="M327" i="57"/>
  <c r="XFD326" i="57"/>
  <c r="O326" i="57"/>
  <c r="M326" i="57"/>
  <c r="XFD325" i="57"/>
  <c r="O325" i="57"/>
  <c r="M325" i="57"/>
  <c r="XFD324" i="57"/>
  <c r="O324" i="57"/>
  <c r="M324" i="57"/>
  <c r="XFD323" i="57"/>
  <c r="O323" i="57"/>
  <c r="M323" i="57"/>
  <c r="XFD322" i="57"/>
  <c r="O322" i="57"/>
  <c r="M322" i="57"/>
  <c r="XFD321" i="57"/>
  <c r="O321" i="57"/>
  <c r="M321" i="57"/>
  <c r="XFD320" i="57"/>
  <c r="O320" i="57"/>
  <c r="M320" i="57"/>
  <c r="XFD319" i="57"/>
  <c r="O319" i="57"/>
  <c r="M319" i="57"/>
  <c r="XFD318" i="57"/>
  <c r="O318" i="57"/>
  <c r="M318" i="57"/>
  <c r="XFD317" i="57"/>
  <c r="O317" i="57"/>
  <c r="M317" i="57"/>
  <c r="XFD316" i="57"/>
  <c r="O316" i="57"/>
  <c r="M316" i="57"/>
  <c r="XFD315" i="57"/>
  <c r="O315" i="57"/>
  <c r="M315" i="57"/>
  <c r="XFD314" i="57"/>
  <c r="O314" i="57"/>
  <c r="M314" i="57"/>
  <c r="XFD313" i="57"/>
  <c r="O313" i="57"/>
  <c r="M313" i="57"/>
  <c r="XFD312" i="57"/>
  <c r="O312" i="57"/>
  <c r="M312" i="57"/>
  <c r="XFD311" i="57"/>
  <c r="O311" i="57"/>
  <c r="M311" i="57"/>
  <c r="XFD310" i="57"/>
  <c r="O310" i="57"/>
  <c r="M310" i="57"/>
  <c r="XFD309" i="57"/>
  <c r="O309" i="57"/>
  <c r="M309" i="57"/>
  <c r="XFD308" i="57"/>
  <c r="O308" i="57"/>
  <c r="M308" i="57"/>
  <c r="XFD307" i="57"/>
  <c r="O307" i="57"/>
  <c r="M307" i="57"/>
  <c r="XFD306" i="57"/>
  <c r="O306" i="57"/>
  <c r="M306" i="57"/>
  <c r="XFD305" i="57"/>
  <c r="O305" i="57"/>
  <c r="M305" i="57"/>
  <c r="XFD304" i="57"/>
  <c r="O304" i="57"/>
  <c r="M304" i="57"/>
  <c r="XFD303" i="57"/>
  <c r="O303" i="57"/>
  <c r="M303" i="57"/>
  <c r="XFD302" i="57"/>
  <c r="O302" i="57"/>
  <c r="M302" i="57"/>
  <c r="XFD301" i="57"/>
  <c r="O301" i="57"/>
  <c r="M301" i="57"/>
  <c r="XFD300" i="57"/>
  <c r="O300" i="57"/>
  <c r="M300" i="57"/>
  <c r="XFD299" i="57"/>
  <c r="O299" i="57"/>
  <c r="M299" i="57"/>
  <c r="XFD298" i="57"/>
  <c r="O298" i="57"/>
  <c r="M298" i="57"/>
  <c r="XFD297" i="57"/>
  <c r="O297" i="57"/>
  <c r="M297" i="57"/>
  <c r="XFD296" i="57"/>
  <c r="O296" i="57"/>
  <c r="M296" i="57"/>
  <c r="XFD295" i="57"/>
  <c r="O295" i="57"/>
  <c r="M295" i="57"/>
  <c r="XFD294" i="57"/>
  <c r="O294" i="57"/>
  <c r="M294" i="57"/>
  <c r="XFD293" i="57"/>
  <c r="O293" i="57"/>
  <c r="M293" i="57"/>
  <c r="XFD292" i="57"/>
  <c r="O292" i="57"/>
  <c r="M292" i="57"/>
  <c r="XFD291" i="57"/>
  <c r="O291" i="57"/>
  <c r="M291" i="57"/>
  <c r="XFD290" i="57"/>
  <c r="O290" i="57"/>
  <c r="M290" i="57"/>
  <c r="XFD289" i="57"/>
  <c r="O289" i="57"/>
  <c r="M289" i="57"/>
  <c r="XFD288" i="57"/>
  <c r="O288" i="57"/>
  <c r="M288" i="57"/>
  <c r="XFD287" i="57"/>
  <c r="O287" i="57"/>
  <c r="M287" i="57"/>
  <c r="XFD286" i="57"/>
  <c r="O286" i="57"/>
  <c r="M286" i="57"/>
  <c r="XFD285" i="57"/>
  <c r="O285" i="57"/>
  <c r="M285" i="57"/>
  <c r="XFD284" i="57"/>
  <c r="O284" i="57"/>
  <c r="M284" i="57"/>
  <c r="XFD283" i="57"/>
  <c r="O283" i="57"/>
  <c r="M283" i="57"/>
  <c r="XFD282" i="57"/>
  <c r="O282" i="57"/>
  <c r="M282" i="57"/>
  <c r="XFD281" i="57"/>
  <c r="O281" i="57"/>
  <c r="M281" i="57"/>
  <c r="XFD280" i="57"/>
  <c r="O280" i="57"/>
  <c r="M280" i="57"/>
  <c r="XFD279" i="57"/>
  <c r="O279" i="57"/>
  <c r="M279" i="57"/>
  <c r="XFD278" i="57"/>
  <c r="O278" i="57"/>
  <c r="M278" i="57"/>
  <c r="XFD277" i="57"/>
  <c r="O277" i="57"/>
  <c r="M277" i="57"/>
  <c r="XFD276" i="57"/>
  <c r="O276" i="57"/>
  <c r="M276" i="57"/>
  <c r="XFD275" i="57"/>
  <c r="O275" i="57"/>
  <c r="M275" i="57"/>
  <c r="XFD274" i="57"/>
  <c r="O274" i="57"/>
  <c r="M274" i="57"/>
  <c r="XFD273" i="57"/>
  <c r="O273" i="57"/>
  <c r="M273" i="57"/>
  <c r="XFD272" i="57"/>
  <c r="O272" i="57"/>
  <c r="M272" i="57"/>
  <c r="XFD271" i="57"/>
  <c r="O271" i="57"/>
  <c r="M271" i="57"/>
  <c r="XFD270" i="57"/>
  <c r="O270" i="57"/>
  <c r="M270" i="57"/>
  <c r="XFD269" i="57"/>
  <c r="O269" i="57"/>
  <c r="M269" i="57"/>
  <c r="XFD268" i="57"/>
  <c r="O268" i="57"/>
  <c r="M268" i="57"/>
  <c r="XFD267" i="57"/>
  <c r="O267" i="57"/>
  <c r="M267" i="57"/>
  <c r="XFD266" i="57"/>
  <c r="O266" i="57"/>
  <c r="M266" i="57"/>
  <c r="XFD265" i="57"/>
  <c r="O265" i="57"/>
  <c r="M265" i="57"/>
  <c r="XFD264" i="57"/>
  <c r="O264" i="57"/>
  <c r="M264" i="57"/>
  <c r="XFD263" i="57"/>
  <c r="O263" i="57"/>
  <c r="M263" i="57"/>
  <c r="XFD262" i="57"/>
  <c r="O262" i="57"/>
  <c r="M262" i="57"/>
  <c r="XFD261" i="57"/>
  <c r="O261" i="57"/>
  <c r="M261" i="57"/>
  <c r="XFD260" i="57"/>
  <c r="O260" i="57"/>
  <c r="M260" i="57"/>
  <c r="XFD259" i="57"/>
  <c r="O259" i="57"/>
  <c r="M259" i="57"/>
  <c r="XFD258" i="57"/>
  <c r="O258" i="57"/>
  <c r="M258" i="57"/>
  <c r="XFD257" i="57"/>
  <c r="O257" i="57"/>
  <c r="M257" i="57"/>
  <c r="XFD256" i="57"/>
  <c r="O256" i="57"/>
  <c r="M256" i="57"/>
  <c r="XFD255" i="57"/>
  <c r="O255" i="57"/>
  <c r="M255" i="57"/>
  <c r="XFD254" i="57"/>
  <c r="O254" i="57"/>
  <c r="M254" i="57"/>
  <c r="XFD253" i="57"/>
  <c r="O253" i="57"/>
  <c r="M253" i="57"/>
  <c r="XFD252" i="57"/>
  <c r="O252" i="57"/>
  <c r="M252" i="57"/>
  <c r="XFD251" i="57"/>
  <c r="O251" i="57"/>
  <c r="M251" i="57"/>
  <c r="XFD250" i="57"/>
  <c r="O250" i="57"/>
  <c r="M250" i="57"/>
  <c r="XFD249" i="57"/>
  <c r="O249" i="57"/>
  <c r="M249" i="57"/>
  <c r="XFD248" i="57"/>
  <c r="O248" i="57"/>
  <c r="M248" i="57"/>
  <c r="XFD247" i="57"/>
  <c r="O247" i="57"/>
  <c r="M247" i="57"/>
  <c r="XFD246" i="57"/>
  <c r="O246" i="57"/>
  <c r="M246" i="57"/>
  <c r="XFD245" i="57"/>
  <c r="O245" i="57"/>
  <c r="M245" i="57"/>
  <c r="XFD244" i="57"/>
  <c r="O244" i="57"/>
  <c r="M244" i="57"/>
  <c r="XFD243" i="57"/>
  <c r="O243" i="57"/>
  <c r="M243" i="57"/>
  <c r="XFD242" i="57"/>
  <c r="O242" i="57"/>
  <c r="M242" i="57"/>
  <c r="XFD241" i="57"/>
  <c r="O241" i="57"/>
  <c r="M241" i="57"/>
  <c r="XFD240" i="57"/>
  <c r="O240" i="57"/>
  <c r="M240" i="57"/>
  <c r="XFD239" i="57"/>
  <c r="O239" i="57"/>
  <c r="M239" i="57"/>
  <c r="XFD238" i="57"/>
  <c r="O238" i="57"/>
  <c r="M238" i="57"/>
  <c r="XFD237" i="57"/>
  <c r="O237" i="57"/>
  <c r="M237" i="57"/>
  <c r="XFD236" i="57"/>
  <c r="O236" i="57"/>
  <c r="M236" i="57"/>
  <c r="XFD235" i="57"/>
  <c r="O235" i="57"/>
  <c r="M235" i="57"/>
  <c r="XFD234" i="57"/>
  <c r="O234" i="57"/>
  <c r="M234" i="57"/>
  <c r="XFD233" i="57"/>
  <c r="O233" i="57"/>
  <c r="M233" i="57"/>
  <c r="XFD232" i="57"/>
  <c r="O232" i="57"/>
  <c r="M232" i="57"/>
  <c r="XFD231" i="57"/>
  <c r="O231" i="57"/>
  <c r="M231" i="57"/>
  <c r="XFD230" i="57"/>
  <c r="O230" i="57"/>
  <c r="M230" i="57"/>
  <c r="XFD229" i="57"/>
  <c r="O229" i="57"/>
  <c r="M229" i="57"/>
  <c r="XFD228" i="57"/>
  <c r="O228" i="57"/>
  <c r="M228" i="57"/>
  <c r="XFD227" i="57"/>
  <c r="O227" i="57"/>
  <c r="M227" i="57"/>
  <c r="XFD226" i="57"/>
  <c r="O226" i="57"/>
  <c r="M226" i="57"/>
  <c r="XFD225" i="57"/>
  <c r="O225" i="57"/>
  <c r="M225" i="57"/>
  <c r="XFD224" i="57"/>
  <c r="O224" i="57"/>
  <c r="M224" i="57"/>
  <c r="XFD223" i="57"/>
  <c r="O223" i="57"/>
  <c r="M223" i="57"/>
  <c r="XFD222" i="57"/>
  <c r="O222" i="57"/>
  <c r="M222" i="57"/>
  <c r="XFD221" i="57"/>
  <c r="O221" i="57"/>
  <c r="M221" i="57"/>
  <c r="XFD220" i="57"/>
  <c r="O220" i="57"/>
  <c r="M220" i="57"/>
  <c r="XFD219" i="57"/>
  <c r="O219" i="57"/>
  <c r="M219" i="57"/>
  <c r="XFD218" i="57"/>
  <c r="O218" i="57"/>
  <c r="M218" i="57"/>
  <c r="XFD217" i="57"/>
  <c r="O217" i="57"/>
  <c r="M217" i="57"/>
  <c r="XFD216" i="57"/>
  <c r="O216" i="57"/>
  <c r="M216" i="57"/>
  <c r="XFD215" i="57"/>
  <c r="O215" i="57"/>
  <c r="M215" i="57"/>
  <c r="XFD214" i="57"/>
  <c r="O214" i="57"/>
  <c r="M214" i="57"/>
  <c r="XFD213" i="57"/>
  <c r="O213" i="57"/>
  <c r="M213" i="57"/>
  <c r="XFD212" i="57"/>
  <c r="O212" i="57"/>
  <c r="M212" i="57"/>
  <c r="XFD211" i="57"/>
  <c r="O211" i="57"/>
  <c r="M211" i="57"/>
  <c r="XFD210" i="57"/>
  <c r="O210" i="57"/>
  <c r="M210" i="57"/>
  <c r="XFD209" i="57"/>
  <c r="O209" i="57"/>
  <c r="M209" i="57"/>
  <c r="XFD208" i="57"/>
  <c r="O208" i="57"/>
  <c r="M208" i="57"/>
  <c r="XFD207" i="57"/>
  <c r="O207" i="57"/>
  <c r="M207" i="57"/>
  <c r="XFD206" i="57"/>
  <c r="O206" i="57"/>
  <c r="M206" i="57"/>
  <c r="XFD205" i="57"/>
  <c r="O205" i="57"/>
  <c r="M205" i="57"/>
  <c r="XFD204" i="57"/>
  <c r="O204" i="57"/>
  <c r="M204" i="57"/>
  <c r="XFD203" i="57"/>
  <c r="O203" i="57"/>
  <c r="M203" i="57"/>
  <c r="XFD202" i="57"/>
  <c r="O202" i="57"/>
  <c r="M202" i="57"/>
  <c r="XFD201" i="57"/>
  <c r="O201" i="57"/>
  <c r="M201" i="57"/>
  <c r="XFD200" i="57"/>
  <c r="O200" i="57"/>
  <c r="M200" i="57"/>
  <c r="XFD199" i="57"/>
  <c r="O199" i="57"/>
  <c r="M199" i="57"/>
  <c r="XFD198" i="57"/>
  <c r="O198" i="57"/>
  <c r="M198" i="57"/>
  <c r="XFD197" i="57"/>
  <c r="O197" i="57"/>
  <c r="M197" i="57"/>
  <c r="XFD196" i="57"/>
  <c r="O196" i="57"/>
  <c r="M196" i="57"/>
  <c r="XFD195" i="57"/>
  <c r="O195" i="57"/>
  <c r="M195" i="57"/>
  <c r="XFD194" i="57"/>
  <c r="O194" i="57"/>
  <c r="M194" i="57"/>
  <c r="XFD193" i="57"/>
  <c r="O193" i="57"/>
  <c r="M193" i="57"/>
  <c r="XFD192" i="57"/>
  <c r="O192" i="57"/>
  <c r="M192" i="57"/>
  <c r="XFD191" i="57"/>
  <c r="O191" i="57"/>
  <c r="M191" i="57"/>
  <c r="XFD190" i="57"/>
  <c r="O190" i="57"/>
  <c r="M190" i="57"/>
  <c r="XFD189" i="57"/>
  <c r="O189" i="57"/>
  <c r="M189" i="57"/>
  <c r="XFD188" i="57"/>
  <c r="O188" i="57"/>
  <c r="M188" i="57"/>
  <c r="XFD187" i="57"/>
  <c r="O187" i="57"/>
  <c r="M187" i="57"/>
  <c r="XFD186" i="57"/>
  <c r="O186" i="57"/>
  <c r="M186" i="57"/>
  <c r="XFD185" i="57"/>
  <c r="O185" i="57"/>
  <c r="M185" i="57"/>
  <c r="XFD184" i="57"/>
  <c r="O184" i="57"/>
  <c r="M184" i="57"/>
  <c r="XFD183" i="57"/>
  <c r="O183" i="57"/>
  <c r="M183" i="57"/>
  <c r="XFD182" i="57"/>
  <c r="O182" i="57"/>
  <c r="M182" i="57"/>
  <c r="XFD111" i="57"/>
  <c r="O111" i="57"/>
  <c r="M111" i="57"/>
  <c r="XFD110" i="57"/>
  <c r="O110" i="57"/>
  <c r="M110" i="57"/>
  <c r="XFD109" i="57"/>
  <c r="O109" i="57"/>
  <c r="M109" i="57"/>
  <c r="XFD108" i="57"/>
  <c r="O108" i="57"/>
  <c r="M108" i="57"/>
  <c r="XFD107" i="57"/>
  <c r="O107" i="57"/>
  <c r="M107" i="57"/>
  <c r="XFD106" i="57"/>
  <c r="O106" i="57"/>
  <c r="M106" i="57"/>
  <c r="XFD105" i="57"/>
  <c r="O105" i="57"/>
  <c r="M105" i="57"/>
  <c r="XFD104" i="57"/>
  <c r="O104" i="57"/>
  <c r="M104" i="57"/>
  <c r="XFD103" i="57"/>
  <c r="O103" i="57"/>
  <c r="M103" i="57"/>
  <c r="XFD102" i="57"/>
  <c r="O102" i="57"/>
  <c r="M102" i="57"/>
  <c r="XFD101" i="57"/>
  <c r="O101" i="57"/>
  <c r="M101" i="57"/>
  <c r="XFD100" i="57"/>
  <c r="O100" i="57"/>
  <c r="M100" i="57"/>
  <c r="XFD99" i="57"/>
  <c r="O99" i="57"/>
  <c r="M99" i="57"/>
  <c r="XFD98" i="57"/>
  <c r="O98" i="57"/>
  <c r="M98" i="57"/>
  <c r="XFD97" i="57"/>
  <c r="O97" i="57"/>
  <c r="M97" i="57"/>
  <c r="XFD96" i="57"/>
  <c r="O96" i="57"/>
  <c r="M96" i="57"/>
  <c r="XFD95" i="57"/>
  <c r="O95" i="57"/>
  <c r="M95" i="57"/>
  <c r="XFD94" i="57"/>
  <c r="O94" i="57"/>
  <c r="M94" i="57"/>
  <c r="XFD93" i="57"/>
  <c r="O93" i="57"/>
  <c r="M93" i="57"/>
  <c r="XFD92" i="57"/>
  <c r="O92" i="57"/>
  <c r="M92" i="57"/>
  <c r="XFD91" i="57"/>
  <c r="O91" i="57"/>
  <c r="M91" i="57"/>
  <c r="XFD90" i="57"/>
  <c r="O90" i="57"/>
  <c r="M90" i="57"/>
  <c r="XFD89" i="57"/>
  <c r="O89" i="57"/>
  <c r="M89" i="57"/>
  <c r="XFD88" i="57"/>
  <c r="O88" i="57"/>
  <c r="M88" i="57"/>
  <c r="XFD87" i="57"/>
  <c r="O87" i="57"/>
  <c r="M87" i="57"/>
  <c r="XFD86" i="57"/>
  <c r="O86" i="57"/>
  <c r="M86" i="57"/>
  <c r="XFD85" i="57"/>
  <c r="O85" i="57"/>
  <c r="M85" i="57"/>
  <c r="L85" i="57"/>
  <c r="XFD84" i="57"/>
  <c r="XFC84" i="57"/>
  <c r="O84" i="57"/>
  <c r="M84" i="57"/>
  <c r="XFD83" i="57"/>
  <c r="XFC83" i="57"/>
  <c r="O83" i="57"/>
  <c r="M83" i="57"/>
  <c r="XFD71" i="57"/>
  <c r="XFD70" i="57"/>
  <c r="XFD69" i="57"/>
  <c r="XFD68" i="57"/>
  <c r="XFD67" i="57"/>
  <c r="XFD66" i="57"/>
  <c r="XFD65" i="57"/>
  <c r="XFD64" i="57"/>
  <c r="XFD63" i="57"/>
  <c r="XFD62" i="57"/>
  <c r="XFD61" i="57"/>
  <c r="XFD60" i="57"/>
  <c r="XFD59" i="57"/>
  <c r="XFD58" i="57"/>
  <c r="XFD57" i="57"/>
  <c r="XFD56" i="57"/>
  <c r="XFD55" i="57"/>
  <c r="XFD54" i="57"/>
  <c r="XFD53" i="57"/>
  <c r="XFD52" i="57"/>
  <c r="XFD51" i="57"/>
  <c r="XFD50" i="57"/>
  <c r="XFD49" i="57"/>
  <c r="XFD48" i="57"/>
  <c r="XFD47" i="57"/>
  <c r="XFD46" i="57"/>
  <c r="XFD45" i="57"/>
  <c r="XFD44" i="57"/>
  <c r="XFD43" i="57"/>
  <c r="XFD42" i="57"/>
  <c r="XFD41" i="57"/>
  <c r="XFD40" i="57"/>
  <c r="XFD39" i="57"/>
  <c r="XFD38" i="57"/>
  <c r="XFD37" i="57"/>
  <c r="XFD36" i="57"/>
  <c r="XFD35" i="57"/>
  <c r="XFD34" i="57"/>
  <c r="XFD33" i="57"/>
  <c r="XFD32" i="57"/>
  <c r="XFD31" i="57"/>
  <c r="XFD30" i="57"/>
  <c r="XFD29" i="57"/>
  <c r="XFD28" i="57"/>
  <c r="XFD27" i="57"/>
  <c r="XFD26" i="57"/>
  <c r="XFD25" i="57"/>
  <c r="XFD24" i="57"/>
  <c r="XFD23" i="57"/>
  <c r="XFD22" i="57"/>
  <c r="XFD21" i="57"/>
  <c r="XFD20" i="57"/>
  <c r="XFD19" i="57"/>
  <c r="XFD18" i="57"/>
  <c r="XFD17" i="57"/>
  <c r="XFD16" i="57"/>
  <c r="XFD15" i="57"/>
  <c r="XFD14" i="57"/>
  <c r="XFC15" i="57"/>
  <c r="XFD13" i="57"/>
  <c r="XFC13" i="57"/>
  <c r="XFD12" i="57"/>
  <c r="XFC12" i="57"/>
  <c r="M7" i="57"/>
  <c r="L7" i="57"/>
  <c r="A15" i="55"/>
  <c r="C16" i="55"/>
  <c r="E136" i="59" l="1"/>
  <c r="XFC14" i="57"/>
  <c r="N132" i="59"/>
  <c r="E141" i="59"/>
  <c r="E143" i="59" s="1"/>
  <c r="L86" i="57"/>
  <c r="XFC85" i="57"/>
  <c r="L87" i="57" l="1"/>
  <c r="XFC86" i="57"/>
  <c r="XFC16" i="57"/>
  <c r="XFC87" i="57" l="1"/>
  <c r="L88" i="57"/>
  <c r="XFC17" i="57"/>
  <c r="F110" i="6"/>
  <c r="F22" i="53"/>
  <c r="G22" i="53" s="1"/>
  <c r="F23" i="53"/>
  <c r="G23" i="53" s="1"/>
  <c r="F24" i="53"/>
  <c r="G24" i="53" s="1"/>
  <c r="F25" i="53"/>
  <c r="G25" i="53" s="1"/>
  <c r="F26" i="53"/>
  <c r="F27" i="53"/>
  <c r="G27" i="53" s="1"/>
  <c r="F28" i="53"/>
  <c r="G28" i="53" s="1"/>
  <c r="F29" i="53"/>
  <c r="G29" i="53" s="1"/>
  <c r="F30" i="53"/>
  <c r="F31" i="53"/>
  <c r="G31" i="53" s="1"/>
  <c r="F32" i="53"/>
  <c r="G32" i="53" s="1"/>
  <c r="F33" i="53"/>
  <c r="G33" i="53" s="1"/>
  <c r="F34" i="53"/>
  <c r="F35" i="53"/>
  <c r="F7" i="53"/>
  <c r="G7" i="53" s="1"/>
  <c r="F8" i="53"/>
  <c r="F9" i="53"/>
  <c r="F10" i="53"/>
  <c r="F11" i="53"/>
  <c r="F12" i="53"/>
  <c r="F13" i="53"/>
  <c r="F14" i="53"/>
  <c r="F15" i="53"/>
  <c r="F16" i="53"/>
  <c r="F17" i="53"/>
  <c r="F18" i="53"/>
  <c r="F19" i="53"/>
  <c r="F20" i="53"/>
  <c r="F21" i="53"/>
  <c r="G26" i="53"/>
  <c r="G30" i="53"/>
  <c r="G34" i="53"/>
  <c r="G35" i="53"/>
  <c r="F6" i="53"/>
  <c r="G6" i="53" s="1"/>
  <c r="D7" i="53"/>
  <c r="XFC88" i="57" l="1"/>
  <c r="L89" i="57"/>
  <c r="XFC18" i="57"/>
  <c r="D8" i="53"/>
  <c r="G8" i="53" s="1"/>
  <c r="XFC19" i="57" l="1"/>
  <c r="L90" i="57"/>
  <c r="XFC89" i="57"/>
  <c r="D9" i="53"/>
  <c r="G9" i="53" s="1"/>
  <c r="L91" i="57" l="1"/>
  <c r="XFC90" i="57"/>
  <c r="XFC20" i="57"/>
  <c r="D10" i="53"/>
  <c r="G10" i="53" s="1"/>
  <c r="XFC21" i="57" l="1"/>
  <c r="XFC91" i="57"/>
  <c r="L92" i="57"/>
  <c r="D11" i="53"/>
  <c r="G11" i="53" s="1"/>
  <c r="XFC92" i="57" l="1"/>
  <c r="L93" i="57"/>
  <c r="XFC22" i="57"/>
  <c r="D12" i="53"/>
  <c r="G12" i="53" s="1"/>
  <c r="X37" i="60" l="1"/>
  <c r="AA37" i="60" s="1"/>
  <c r="XFC23" i="57"/>
  <c r="L94" i="57"/>
  <c r="XFC93" i="57"/>
  <c r="D13" i="53"/>
  <c r="G13" i="53" s="1"/>
  <c r="XFC24" i="57" l="1"/>
  <c r="L95" i="57"/>
  <c r="XFC94" i="57"/>
  <c r="D14" i="53"/>
  <c r="G14" i="53" s="1"/>
  <c r="AA39" i="60" l="1"/>
  <c r="U1" i="60"/>
  <c r="L26" i="57"/>
  <c r="XFC25" i="57"/>
  <c r="XFC95" i="57"/>
  <c r="L96" i="57"/>
  <c r="D15" i="53"/>
  <c r="G15" i="53" s="1"/>
  <c r="XFC96" i="57" l="1"/>
  <c r="L97" i="57"/>
  <c r="L27" i="57"/>
  <c r="XFC26" i="57"/>
  <c r="D16" i="53"/>
  <c r="G16" i="53" s="1"/>
  <c r="XFC27" i="57" l="1"/>
  <c r="L28" i="57"/>
  <c r="L98" i="57"/>
  <c r="XFC97" i="57"/>
  <c r="D17" i="53"/>
  <c r="G17" i="53" s="1"/>
  <c r="L99" i="57" l="1"/>
  <c r="XFC98" i="57"/>
  <c r="XFC28" i="57"/>
  <c r="L29" i="57"/>
  <c r="D18" i="53"/>
  <c r="G18" i="53" s="1"/>
  <c r="L30" i="57" l="1"/>
  <c r="XFC29" i="57"/>
  <c r="XFC99" i="57"/>
  <c r="L100" i="57"/>
  <c r="D19" i="53"/>
  <c r="G19" i="53" s="1"/>
  <c r="XFC100" i="57" l="1"/>
  <c r="L101" i="57"/>
  <c r="L31" i="57"/>
  <c r="XFC30" i="57"/>
  <c r="D20" i="53"/>
  <c r="G20" i="53" s="1"/>
  <c r="XFC31" i="57" l="1"/>
  <c r="L32" i="57"/>
  <c r="L102" i="57"/>
  <c r="XFC101" i="57"/>
  <c r="D21" i="53"/>
  <c r="L103" i="57" l="1"/>
  <c r="XFC102" i="57"/>
  <c r="XFC32" i="57"/>
  <c r="L33" i="57"/>
  <c r="G21" i="53"/>
  <c r="D22" i="53"/>
  <c r="D23" i="53" s="1"/>
  <c r="D24" i="53" s="1"/>
  <c r="D25" i="53" s="1"/>
  <c r="D26" i="53" s="1"/>
  <c r="D27" i="53" s="1"/>
  <c r="D28" i="53" s="1"/>
  <c r="D29" i="53" s="1"/>
  <c r="D30" i="53" s="1"/>
  <c r="D31" i="53" s="1"/>
  <c r="D32" i="53" s="1"/>
  <c r="D33" i="53" s="1"/>
  <c r="D34" i="53" s="1"/>
  <c r="D35" i="53" s="1"/>
  <c r="G3" i="53" l="1"/>
  <c r="L34" i="57"/>
  <c r="XFC33" i="57"/>
  <c r="XFC103" i="57"/>
  <c r="L104" i="57"/>
  <c r="XFC104" i="57" l="1"/>
  <c r="L105" i="57"/>
  <c r="L35" i="57"/>
  <c r="XFC34" i="57"/>
  <c r="L106" i="57" l="1"/>
  <c r="XFC105" i="57"/>
  <c r="XFC35" i="57"/>
  <c r="L36" i="57"/>
  <c r="XFC36" i="57" l="1"/>
  <c r="L37" i="57"/>
  <c r="L107" i="57"/>
  <c r="XFC106" i="57"/>
  <c r="L38" i="57" l="1"/>
  <c r="XFC37" i="57"/>
  <c r="XFC107" i="57"/>
  <c r="L108" i="57"/>
  <c r="XFC108" i="57" l="1"/>
  <c r="L109" i="57"/>
  <c r="L39" i="57"/>
  <c r="XFC38" i="57"/>
  <c r="XFC39" i="57" l="1"/>
  <c r="L40" i="57"/>
  <c r="L110" i="57"/>
  <c r="XFC109" i="57"/>
  <c r="L111" i="57" l="1"/>
  <c r="L112" i="57" s="1"/>
  <c r="XFC110" i="57"/>
  <c r="XFC40" i="57"/>
  <c r="L41" i="57"/>
  <c r="L113" i="57" l="1"/>
  <c r="XFC112" i="57"/>
  <c r="L42" i="57"/>
  <c r="XFC41" i="57"/>
  <c r="XFC111" i="57"/>
  <c r="XFC113" i="57" l="1"/>
  <c r="L114" i="57"/>
  <c r="L43" i="57"/>
  <c r="XFC42" i="57"/>
  <c r="XFC114" i="57" l="1"/>
  <c r="L115" i="57"/>
  <c r="XFC43" i="57"/>
  <c r="L44" i="57"/>
  <c r="L116" i="57" l="1"/>
  <c r="XFC115" i="57"/>
  <c r="XFC44" i="57"/>
  <c r="L45" i="57"/>
  <c r="XFC116" i="57" l="1"/>
  <c r="L117" i="57"/>
  <c r="L46" i="57"/>
  <c r="XFC45" i="57"/>
  <c r="XFC117" i="57" l="1"/>
  <c r="L118" i="57"/>
  <c r="L47" i="57"/>
  <c r="XFC46" i="57"/>
  <c r="XFC118" i="57" l="1"/>
  <c r="L119" i="57"/>
  <c r="XFC47" i="57"/>
  <c r="L48" i="57"/>
  <c r="L120" i="57" l="1"/>
  <c r="XFC119" i="57"/>
  <c r="XFC48" i="57"/>
  <c r="L49" i="57"/>
  <c r="L121" i="57" l="1"/>
  <c r="XFC120" i="57"/>
  <c r="L50" i="57"/>
  <c r="XFC49" i="57"/>
  <c r="XFC121" i="57" l="1"/>
  <c r="L122" i="57"/>
  <c r="L51" i="57"/>
  <c r="XFC50" i="57"/>
  <c r="XFC122" i="57" l="1"/>
  <c r="L123" i="57"/>
  <c r="XFC51" i="57"/>
  <c r="L52" i="57"/>
  <c r="L124" i="57" l="1"/>
  <c r="XFC123" i="57"/>
  <c r="XFC52" i="57"/>
  <c r="L53" i="57"/>
  <c r="L125" i="57" l="1"/>
  <c r="XFC124" i="57"/>
  <c r="L54" i="57"/>
  <c r="XFC53" i="57"/>
  <c r="XFC125" i="57" l="1"/>
  <c r="L126" i="57"/>
  <c r="L55" i="57"/>
  <c r="XFC54" i="57"/>
  <c r="XFC126" i="57" l="1"/>
  <c r="L127" i="57"/>
  <c r="XFC55" i="57"/>
  <c r="L56" i="57"/>
  <c r="L128" i="57" l="1"/>
  <c r="XFC127" i="57"/>
  <c r="XFC56" i="57"/>
  <c r="L57" i="57"/>
  <c r="XFC128" i="57" l="1"/>
  <c r="L129" i="57"/>
  <c r="L58" i="57"/>
  <c r="XFC57" i="57"/>
  <c r="XFC129" i="57" l="1"/>
  <c r="L130" i="57"/>
  <c r="L59" i="57"/>
  <c r="XFC58" i="57"/>
  <c r="L131" i="57" l="1"/>
  <c r="XFC130" i="57"/>
  <c r="XFC59" i="57"/>
  <c r="L60" i="57"/>
  <c r="L132" i="57" l="1"/>
  <c r="XFC131" i="57"/>
  <c r="XFC60" i="57"/>
  <c r="L61" i="57"/>
  <c r="L133" i="57" l="1"/>
  <c r="XFC132" i="57"/>
  <c r="L62" i="57"/>
  <c r="XFC61" i="57"/>
  <c r="XFC133" i="57" l="1"/>
  <c r="L134" i="57"/>
  <c r="L63" i="57"/>
  <c r="XFC62" i="57"/>
  <c r="XFC134" i="57" l="1"/>
  <c r="L135" i="57"/>
  <c r="XFC63" i="57"/>
  <c r="L64" i="57"/>
  <c r="L136" i="57" l="1"/>
  <c r="XFC135" i="57"/>
  <c r="XFC64" i="57"/>
  <c r="L65" i="57"/>
  <c r="L137" i="57" l="1"/>
  <c r="XFC136" i="57"/>
  <c r="L66" i="57"/>
  <c r="XFC65" i="57"/>
  <c r="XFC137" i="57" l="1"/>
  <c r="L138" i="57"/>
  <c r="L67" i="57"/>
  <c r="XFC66" i="57"/>
  <c r="XFC138" i="57" l="1"/>
  <c r="L139" i="57"/>
  <c r="XFC67" i="57"/>
  <c r="L68" i="57"/>
  <c r="L140" i="57" l="1"/>
  <c r="XFC139" i="57"/>
  <c r="XFC68" i="57"/>
  <c r="L69" i="57"/>
  <c r="XFC140" i="57" l="1"/>
  <c r="L141" i="57"/>
  <c r="L70" i="57"/>
  <c r="XFC69" i="57"/>
  <c r="XFC141" i="57" l="1"/>
  <c r="L142" i="57"/>
  <c r="L71" i="57"/>
  <c r="XFC71" i="57" s="1"/>
  <c r="XFC70" i="57"/>
  <c r="L143" i="57" l="1"/>
  <c r="XFC142" i="57"/>
  <c r="K535" i="57"/>
  <c r="M532" i="57" s="1"/>
  <c r="K536" i="57"/>
  <c r="M533" i="57" s="1"/>
  <c r="K534" i="57"/>
  <c r="K531" i="57"/>
  <c r="K533" i="57"/>
  <c r="K532" i="57"/>
  <c r="K530" i="57"/>
  <c r="L144" i="57" l="1"/>
  <c r="XFC143" i="57"/>
  <c r="M531" i="57"/>
  <c r="K537" i="57"/>
  <c r="M530" i="57"/>
  <c r="L145" i="57" l="1"/>
  <c r="XFC144" i="57"/>
  <c r="M534" i="57"/>
  <c r="XFC145" i="57" l="1"/>
  <c r="L146" i="57"/>
  <c r="L147" i="57" l="1"/>
  <c r="XFC146" i="57"/>
  <c r="L148" i="57" l="1"/>
  <c r="XFC147" i="57"/>
  <c r="L149" i="57" l="1"/>
  <c r="XFC148" i="57"/>
  <c r="XFC149" i="57" l="1"/>
  <c r="L150" i="57"/>
  <c r="XFC150" i="57" l="1"/>
  <c r="L151" i="57"/>
  <c r="L152" i="57" l="1"/>
  <c r="XFC151" i="57"/>
  <c r="XFC152" i="57" l="1"/>
  <c r="L153" i="57"/>
  <c r="XFC153" i="57" l="1"/>
  <c r="L154" i="57"/>
  <c r="L155" i="57" l="1"/>
  <c r="XFC154" i="57"/>
  <c r="L156" i="57" l="1"/>
  <c r="XFC155" i="57"/>
  <c r="L157" i="57" l="1"/>
  <c r="XFC156" i="57"/>
  <c r="XFC157" i="57" l="1"/>
  <c r="L158" i="57"/>
  <c r="XFC158" i="57" l="1"/>
  <c r="L159" i="57"/>
  <c r="L160" i="57" l="1"/>
  <c r="XFC159" i="57"/>
  <c r="XFC160" i="57" l="1"/>
  <c r="L161" i="57"/>
  <c r="XFC161" i="57" l="1"/>
  <c r="L162" i="57"/>
  <c r="L163" i="57" l="1"/>
  <c r="XFC162" i="57"/>
  <c r="L164" i="57" l="1"/>
  <c r="XFC163" i="57"/>
  <c r="L165" i="57" l="1"/>
  <c r="XFC164" i="57"/>
  <c r="XFC165" i="57" l="1"/>
  <c r="L166" i="57"/>
  <c r="XFC166" i="57" l="1"/>
  <c r="L167" i="57"/>
  <c r="L168" i="57" l="1"/>
  <c r="XFC167" i="57"/>
  <c r="L169" i="57" l="1"/>
  <c r="XFC168" i="57"/>
  <c r="XFC169" i="57" l="1"/>
  <c r="L170" i="57"/>
  <c r="L171" i="57" l="1"/>
  <c r="XFC170" i="57"/>
  <c r="L172" i="57" l="1"/>
  <c r="XFC171" i="57"/>
  <c r="L173" i="57" l="1"/>
  <c r="XFC172" i="57"/>
  <c r="XFC173" i="57" l="1"/>
  <c r="L174" i="57"/>
  <c r="XFC174" i="57" l="1"/>
  <c r="L175" i="57"/>
  <c r="L176" i="57" l="1"/>
  <c r="XFC175" i="57"/>
  <c r="L177" i="57" l="1"/>
  <c r="XFC176" i="57"/>
  <c r="XFC177" i="57" l="1"/>
  <c r="L178" i="57"/>
  <c r="XFC178" i="57" l="1"/>
  <c r="L179" i="57"/>
  <c r="L180" i="57" l="1"/>
  <c r="XFC179" i="57"/>
  <c r="L181" i="57" l="1"/>
  <c r="XFC180" i="57"/>
  <c r="XFC181" i="57" l="1"/>
  <c r="L182" i="57"/>
  <c r="L183" i="57" l="1"/>
  <c r="XFC182" i="57"/>
  <c r="L184" i="57" l="1"/>
  <c r="XFC183" i="57"/>
  <c r="L185" i="57" l="1"/>
  <c r="XFC184" i="57"/>
  <c r="XFC185" i="57" l="1"/>
  <c r="L186" i="57"/>
  <c r="XFC186" i="57" l="1"/>
  <c r="L187" i="57"/>
  <c r="L188" i="57" l="1"/>
  <c r="XFC187" i="57"/>
  <c r="L189" i="57" l="1"/>
  <c r="XFC188" i="57"/>
  <c r="XFC189" i="57" l="1"/>
  <c r="L190" i="57"/>
  <c r="XFC190" i="57" l="1"/>
  <c r="L191" i="57"/>
  <c r="L192" i="57" l="1"/>
  <c r="XFC191" i="57"/>
  <c r="XFC192" i="57" l="1"/>
  <c r="L193" i="57"/>
  <c r="XFC193" i="57" l="1"/>
  <c r="L194" i="57"/>
  <c r="XFC194" i="57" l="1"/>
  <c r="L195" i="57"/>
  <c r="XFC195" i="57" l="1"/>
  <c r="L196" i="57"/>
  <c r="L197" i="57" l="1"/>
  <c r="XFC196" i="57"/>
  <c r="XFC197" i="57" l="1"/>
  <c r="L198" i="57"/>
  <c r="XFC198" i="57" l="1"/>
  <c r="L199" i="57"/>
  <c r="L200" i="57" l="1"/>
  <c r="XFC199" i="57"/>
  <c r="L201" i="57" l="1"/>
  <c r="XFC200" i="57"/>
  <c r="L202" i="57" l="1"/>
  <c r="XFC201" i="57"/>
  <c r="XFC202" i="57" l="1"/>
  <c r="L203" i="57"/>
  <c r="XFC203" i="57" l="1"/>
  <c r="L204" i="57"/>
  <c r="XFC204" i="57" l="1"/>
  <c r="L205" i="57"/>
  <c r="L206" i="57" l="1"/>
  <c r="XFC205" i="57"/>
  <c r="L207" i="57" l="1"/>
  <c r="XFC206" i="57"/>
  <c r="XFC207" i="57" l="1"/>
  <c r="L208" i="57"/>
  <c r="L209" i="57" l="1"/>
  <c r="XFC208" i="57"/>
  <c r="XFC209" i="57" l="1"/>
  <c r="L210" i="57"/>
  <c r="XFC210" i="57" l="1"/>
  <c r="L211" i="57"/>
  <c r="XFC211" i="57" l="1"/>
  <c r="L212" i="57"/>
  <c r="L213" i="57" l="1"/>
  <c r="XFC212" i="57"/>
  <c r="L214" i="57" l="1"/>
  <c r="XFC213" i="57"/>
  <c r="XFC214" i="57" l="1"/>
  <c r="L215" i="57"/>
  <c r="XFC215" i="57" l="1"/>
  <c r="L216" i="57"/>
  <c r="XFC216" i="57" l="1"/>
  <c r="L217" i="57"/>
  <c r="L218" i="57" l="1"/>
  <c r="XFC217" i="57"/>
  <c r="L219" i="57" l="1"/>
  <c r="XFC218" i="57"/>
  <c r="XFC219" i="57" l="1"/>
  <c r="L220" i="57"/>
  <c r="XFC220" i="57" l="1"/>
  <c r="L221" i="57"/>
  <c r="L222" i="57" l="1"/>
  <c r="XFC221" i="57"/>
  <c r="XFC222" i="57" l="1"/>
  <c r="L223" i="57"/>
  <c r="XFC223" i="57" l="1"/>
  <c r="L224" i="57"/>
  <c r="XFC224" i="57" l="1"/>
  <c r="L225" i="57"/>
  <c r="L226" i="57" l="1"/>
  <c r="XFC225" i="57"/>
  <c r="XFC226" i="57" l="1"/>
  <c r="L227" i="57"/>
  <c r="L228" i="57" l="1"/>
  <c r="XFC227" i="57"/>
  <c r="XFC228" i="57" l="1"/>
  <c r="L229" i="57"/>
  <c r="L230" i="57" l="1"/>
  <c r="XFC229" i="57"/>
  <c r="XFC230" i="57" l="1"/>
  <c r="L231" i="57"/>
  <c r="XFC231" i="57" l="1"/>
  <c r="L232" i="57"/>
  <c r="XFC232" i="57" l="1"/>
  <c r="L233" i="57"/>
  <c r="L234" i="57" l="1"/>
  <c r="XFC233" i="57"/>
  <c r="XFC234" i="57" l="1"/>
  <c r="L235" i="57"/>
  <c r="XFC235" i="57" l="1"/>
  <c r="L236" i="57"/>
  <c r="XFC236" i="57" l="1"/>
  <c r="L237" i="57"/>
  <c r="XFC237" i="57" l="1"/>
  <c r="L238" i="57"/>
  <c r="XFC238" i="57" l="1"/>
  <c r="L239" i="57"/>
  <c r="XFC239" i="57" l="1"/>
  <c r="L240" i="57"/>
  <c r="XFC240" i="57" l="1"/>
  <c r="L241" i="57"/>
  <c r="XFC241" i="57" l="1"/>
  <c r="L242" i="57"/>
  <c r="L243" i="57" l="1"/>
  <c r="XFC242" i="57"/>
  <c r="L244" i="57" l="1"/>
  <c r="XFC243" i="57"/>
  <c r="L245" i="57" l="1"/>
  <c r="XFC244" i="57"/>
  <c r="L246" i="57" l="1"/>
  <c r="XFC245" i="57"/>
  <c r="L247" i="57" l="1"/>
  <c r="XFC246" i="57"/>
  <c r="XFC247" i="57" l="1"/>
  <c r="L248" i="57"/>
  <c r="XFC248" i="57" l="1"/>
  <c r="L249" i="57"/>
  <c r="XFC249" i="57" l="1"/>
  <c r="L250" i="57"/>
  <c r="XFC250" i="57" l="1"/>
  <c r="L251" i="57"/>
  <c r="L252" i="57" l="1"/>
  <c r="XFC251" i="57"/>
  <c r="XFC252" i="57" l="1"/>
  <c r="L253" i="57"/>
  <c r="L254" i="57" l="1"/>
  <c r="XFC253" i="57"/>
  <c r="XFC254" i="57" l="1"/>
  <c r="L255" i="57"/>
  <c r="XFC255" i="57" l="1"/>
  <c r="L256" i="57"/>
  <c r="XFC256" i="57" l="1"/>
  <c r="L257" i="57"/>
  <c r="L258" i="57" l="1"/>
  <c r="XFC257" i="57"/>
  <c r="XFC258" i="57" l="1"/>
  <c r="L259" i="57"/>
  <c r="XFC259" i="57" l="1"/>
  <c r="L260" i="57"/>
  <c r="L261" i="57" l="1"/>
  <c r="XFC260" i="57"/>
  <c r="XFC261" i="57" l="1"/>
  <c r="L262" i="57"/>
  <c r="L263" i="57" l="1"/>
  <c r="XFC262" i="57"/>
  <c r="XFC263" i="57" l="1"/>
  <c r="L264" i="57"/>
  <c r="XFC264" i="57" l="1"/>
  <c r="L265" i="57"/>
  <c r="L266" i="57" l="1"/>
  <c r="XFC265" i="57"/>
  <c r="XFC266" i="57" l="1"/>
  <c r="L267" i="57"/>
  <c r="XFC267" i="57" l="1"/>
  <c r="L268" i="57"/>
  <c r="XFC268" i="57" l="1"/>
  <c r="L269" i="57"/>
  <c r="L270" i="57" l="1"/>
  <c r="XFC269" i="57"/>
  <c r="XFC270" i="57" l="1"/>
  <c r="L271" i="57"/>
  <c r="XFC271" i="57" l="1"/>
  <c r="L272" i="57"/>
  <c r="XFC272" i="57" l="1"/>
  <c r="L273" i="57"/>
  <c r="L274" i="57" l="1"/>
  <c r="XFC273" i="57"/>
  <c r="XFC274" i="57" l="1"/>
  <c r="L275" i="57"/>
  <c r="XFC275" i="57" l="1"/>
  <c r="L276" i="57"/>
  <c r="XFC276" i="57" l="1"/>
  <c r="L277" i="57"/>
  <c r="L278" i="57" l="1"/>
  <c r="XFC277" i="57"/>
  <c r="XFC278" i="57" l="1"/>
  <c r="L279" i="57"/>
  <c r="XFC279" i="57" l="1"/>
  <c r="L280" i="57"/>
  <c r="XFC280" i="57" l="1"/>
  <c r="L281" i="57"/>
  <c r="L282" i="57" l="1"/>
  <c r="XFC281" i="57"/>
  <c r="XFC282" i="57" l="1"/>
  <c r="L283" i="57"/>
  <c r="XFC283" i="57" l="1"/>
  <c r="L284" i="57"/>
  <c r="XFC284" i="57" l="1"/>
  <c r="L285" i="57"/>
  <c r="L286" i="57" l="1"/>
  <c r="XFC285" i="57"/>
  <c r="XFC286" i="57" l="1"/>
  <c r="L287" i="57"/>
  <c r="XFC287" i="57" l="1"/>
  <c r="L288" i="57"/>
  <c r="XFC288" i="57" l="1"/>
  <c r="L289" i="57"/>
  <c r="L290" i="57" l="1"/>
  <c r="XFC289" i="57"/>
  <c r="XFC290" i="57" l="1"/>
  <c r="L291" i="57"/>
  <c r="XFC291" i="57" l="1"/>
  <c r="L292" i="57"/>
  <c r="XFC292" i="57" l="1"/>
  <c r="L293" i="57"/>
  <c r="L294" i="57" l="1"/>
  <c r="XFC293" i="57"/>
  <c r="L295" i="57" l="1"/>
  <c r="XFC294" i="57"/>
  <c r="L296" i="57" l="1"/>
  <c r="XFC295" i="57"/>
  <c r="L297" i="57" l="1"/>
  <c r="XFC296" i="57"/>
  <c r="L298" i="57" l="1"/>
  <c r="XFC297" i="57"/>
  <c r="L299" i="57" l="1"/>
  <c r="XFC298" i="57"/>
  <c r="XFC299" i="57" l="1"/>
  <c r="L300" i="57"/>
  <c r="L301" i="57" l="1"/>
  <c r="XFC300" i="57"/>
  <c r="L302" i="57" l="1"/>
  <c r="XFC301" i="57"/>
  <c r="L303" i="57" l="1"/>
  <c r="XFC302" i="57"/>
  <c r="L304" i="57" l="1"/>
  <c r="XFC303" i="57"/>
  <c r="L305" i="57" l="1"/>
  <c r="XFC304" i="57"/>
  <c r="L306" i="57" l="1"/>
  <c r="XFC305" i="57"/>
  <c r="L307" i="57" l="1"/>
  <c r="XFC306" i="57"/>
  <c r="XFC307" i="57" l="1"/>
  <c r="L308" i="57"/>
  <c r="L309" i="57" l="1"/>
  <c r="XFC308" i="57"/>
  <c r="L310" i="57" l="1"/>
  <c r="XFC309" i="57"/>
  <c r="L311" i="57" l="1"/>
  <c r="XFC310" i="57"/>
  <c r="XFC311" i="57" l="1"/>
  <c r="L312" i="57"/>
  <c r="L313" i="57" l="1"/>
  <c r="XFC312" i="57"/>
  <c r="L314" i="57" l="1"/>
  <c r="XFC313" i="57"/>
  <c r="L315" i="57" l="1"/>
  <c r="XFC314" i="57"/>
  <c r="XFC315" i="57" l="1"/>
  <c r="L316" i="57"/>
  <c r="L317" i="57" l="1"/>
  <c r="XFC316" i="57"/>
  <c r="L318" i="57" l="1"/>
  <c r="XFC317" i="57"/>
  <c r="L319" i="57" l="1"/>
  <c r="XFC318" i="57"/>
  <c r="XFC319" i="57" l="1"/>
  <c r="L320" i="57"/>
  <c r="XFC320" i="57" l="1"/>
  <c r="L321" i="57"/>
  <c r="L322" i="57" l="1"/>
  <c r="XFC321" i="57"/>
  <c r="L323" i="57" l="1"/>
  <c r="XFC322" i="57"/>
  <c r="L324" i="57" l="1"/>
  <c r="XFC323" i="57"/>
  <c r="XFC324" i="57" l="1"/>
  <c r="L325" i="57"/>
  <c r="L326" i="57" l="1"/>
  <c r="XFC325" i="57"/>
  <c r="L327" i="57" l="1"/>
  <c r="XFC326" i="57"/>
  <c r="L328" i="57" l="1"/>
  <c r="XFC327" i="57"/>
  <c r="L329" i="57" l="1"/>
  <c r="XFC328" i="57"/>
  <c r="L330" i="57" l="1"/>
  <c r="XFC329" i="57"/>
  <c r="XFC330" i="57" l="1"/>
  <c r="L331" i="57"/>
  <c r="L332" i="57" l="1"/>
  <c r="XFC331" i="57"/>
  <c r="XFC332" i="57" l="1"/>
  <c r="L333" i="57"/>
  <c r="L334" i="57" l="1"/>
  <c r="XFC333" i="57"/>
  <c r="L335" i="57" l="1"/>
  <c r="XFC334" i="57"/>
  <c r="L336" i="57" l="1"/>
  <c r="XFC335" i="57"/>
  <c r="L337" i="57" l="1"/>
  <c r="XFC336" i="57"/>
  <c r="L338" i="57" l="1"/>
  <c r="XFC337" i="57"/>
  <c r="L339" i="57" l="1"/>
  <c r="XFC338" i="57"/>
  <c r="XFC339" i="57" l="1"/>
  <c r="L340" i="57"/>
  <c r="L341" i="57" l="1"/>
  <c r="XFC340" i="57"/>
  <c r="L342" i="57" l="1"/>
  <c r="XFC341" i="57"/>
  <c r="L343" i="57" l="1"/>
  <c r="XFC342" i="57"/>
  <c r="XFC343" i="57" l="1"/>
  <c r="L344" i="57"/>
  <c r="L345" i="57" l="1"/>
  <c r="XFC344" i="57"/>
  <c r="L346" i="57" l="1"/>
  <c r="XFC345" i="57"/>
  <c r="L347" i="57" l="1"/>
  <c r="XFC346" i="57"/>
  <c r="XFC347" i="57" l="1"/>
  <c r="L348" i="57"/>
  <c r="L349" i="57" l="1"/>
  <c r="XFC348" i="57"/>
  <c r="L350" i="57" l="1"/>
  <c r="XFC349" i="57"/>
  <c r="L351" i="57" l="1"/>
  <c r="XFC350" i="57"/>
  <c r="XFC351" i="57" l="1"/>
  <c r="L352" i="57"/>
  <c r="L353" i="57" l="1"/>
  <c r="XFC352" i="57"/>
  <c r="L354" i="57" l="1"/>
  <c r="XFC353" i="57"/>
  <c r="L355" i="57" l="1"/>
  <c r="XFC354" i="57"/>
  <c r="XFC355" i="57" l="1"/>
  <c r="L356" i="57"/>
  <c r="L357" i="57" l="1"/>
  <c r="XFC356" i="57"/>
  <c r="L358" i="57" l="1"/>
  <c r="XFC357" i="57"/>
  <c r="L359" i="57" l="1"/>
  <c r="XFC358" i="57"/>
  <c r="L360" i="57" l="1"/>
  <c r="XFC359" i="57"/>
  <c r="XFC360" i="57" l="1"/>
  <c r="L361" i="57"/>
  <c r="XFC361" i="57" l="1"/>
  <c r="L362" i="57"/>
  <c r="L363" i="57" l="1"/>
  <c r="XFC362" i="57"/>
  <c r="L364" i="57" l="1"/>
  <c r="XFC363" i="57"/>
  <c r="XFC364" i="57" l="1"/>
  <c r="L365" i="57"/>
  <c r="L366" i="57" l="1"/>
  <c r="XFC365" i="57"/>
  <c r="L367" i="57" l="1"/>
  <c r="XFC366" i="57"/>
  <c r="L368" i="57" l="1"/>
  <c r="XFC367" i="57"/>
  <c r="XFC368" i="57" l="1"/>
  <c r="L369" i="57"/>
  <c r="XFC369" i="57" l="1"/>
  <c r="L370" i="57"/>
  <c r="L371" i="57" l="1"/>
  <c r="XFC370" i="57"/>
  <c r="L372" i="57" l="1"/>
  <c r="XFC371" i="57"/>
  <c r="L373" i="57" l="1"/>
  <c r="XFC372" i="57"/>
  <c r="L374" i="57" l="1"/>
  <c r="XFC373" i="57"/>
  <c r="XFC374" i="57" l="1"/>
  <c r="L375" i="57"/>
  <c r="L376" i="57" l="1"/>
  <c r="XFC375" i="57"/>
  <c r="L377" i="57" l="1"/>
  <c r="XFC376" i="57"/>
  <c r="L378" i="57" l="1"/>
  <c r="XFC377" i="57"/>
  <c r="XFC378" i="57" l="1"/>
  <c r="L379" i="57"/>
  <c r="L380" i="57" l="1"/>
  <c r="XFC379" i="57"/>
  <c r="L381" i="57" l="1"/>
  <c r="XFC380" i="57"/>
  <c r="L382" i="57" l="1"/>
  <c r="XFC381" i="57"/>
  <c r="XFC382" i="57" l="1"/>
  <c r="L383" i="57"/>
  <c r="L384" i="57" l="1"/>
  <c r="XFC383" i="57"/>
  <c r="L385" i="57" l="1"/>
  <c r="XFC384" i="57"/>
  <c r="L386" i="57" l="1"/>
  <c r="XFC385" i="57"/>
  <c r="XFC386" i="57" l="1"/>
  <c r="L387" i="57"/>
  <c r="L388" i="57" l="1"/>
  <c r="XFC387" i="57"/>
  <c r="L389" i="57" l="1"/>
  <c r="XFC388" i="57"/>
  <c r="L390" i="57" l="1"/>
  <c r="XFC389" i="57"/>
  <c r="XFC390" i="57" l="1"/>
  <c r="L391" i="57"/>
  <c r="L392" i="57" l="1"/>
  <c r="XFC391" i="57"/>
  <c r="L393" i="57" l="1"/>
  <c r="XFC392" i="57"/>
  <c r="L394" i="57" l="1"/>
  <c r="XFC393" i="57"/>
  <c r="XFC394" i="57" l="1"/>
  <c r="L395" i="57"/>
  <c r="L396" i="57" l="1"/>
  <c r="XFC395" i="57"/>
  <c r="L397" i="57" l="1"/>
  <c r="XFC396" i="57"/>
  <c r="L398" i="57" l="1"/>
  <c r="XFC397" i="57"/>
  <c r="XFC398" i="57" l="1"/>
  <c r="L399" i="57"/>
  <c r="L400" i="57" l="1"/>
  <c r="XFC399" i="57"/>
  <c r="L401" i="57" l="1"/>
  <c r="XFC400" i="57"/>
  <c r="L402" i="57" l="1"/>
  <c r="XFC401" i="57"/>
  <c r="XFC402" i="57" l="1"/>
  <c r="L403" i="57"/>
  <c r="L404" i="57" l="1"/>
  <c r="XFC403" i="57"/>
  <c r="L405" i="57" l="1"/>
  <c r="XFC404" i="57"/>
  <c r="L406" i="57" l="1"/>
  <c r="XFC405" i="57"/>
  <c r="XFC406" i="57" l="1"/>
  <c r="L407" i="57"/>
  <c r="L408" i="57" l="1"/>
  <c r="XFC407" i="57"/>
  <c r="L409" i="57" l="1"/>
  <c r="XFC408" i="57"/>
  <c r="L410" i="57" l="1"/>
  <c r="XFC409" i="57"/>
  <c r="XFC410" i="57" l="1"/>
  <c r="L411" i="57"/>
  <c r="L412" i="57" l="1"/>
  <c r="XFC411" i="57"/>
  <c r="L413" i="57" l="1"/>
  <c r="XFC412" i="57"/>
  <c r="L414" i="57" l="1"/>
  <c r="XFC413" i="57"/>
  <c r="XFC414" i="57" l="1"/>
  <c r="L415" i="57"/>
  <c r="L416" i="57" l="1"/>
  <c r="XFC415" i="57"/>
  <c r="L417" i="57" l="1"/>
  <c r="XFC416" i="57"/>
  <c r="XFC417" i="57" l="1"/>
  <c r="L418" i="57"/>
  <c r="XFC418" i="57" l="1"/>
  <c r="L419" i="57"/>
  <c r="L420" i="57" l="1"/>
  <c r="XFC419" i="57"/>
  <c r="L421" i="57" l="1"/>
  <c r="XFC420" i="57"/>
  <c r="XFC421" i="57" l="1"/>
  <c r="L422" i="57"/>
  <c r="XFC422" i="57" l="1"/>
  <c r="L423" i="57"/>
  <c r="L424" i="57" l="1"/>
  <c r="XFC423" i="57"/>
  <c r="L425" i="57" l="1"/>
  <c r="XFC424" i="57"/>
  <c r="XFC425" i="57" l="1"/>
  <c r="L426" i="57"/>
  <c r="XFC426" i="57" l="1"/>
  <c r="L427" i="57"/>
  <c r="L428" i="57" l="1"/>
  <c r="XFC427" i="57"/>
  <c r="L429" i="57" l="1"/>
  <c r="XFC428" i="57"/>
  <c r="XFC429" i="57" l="1"/>
  <c r="L430" i="57"/>
  <c r="L431" i="57" l="1"/>
  <c r="XFC430" i="57"/>
  <c r="L432" i="57" l="1"/>
  <c r="XFC431" i="57"/>
  <c r="L433" i="57" l="1"/>
  <c r="XFC432" i="57"/>
  <c r="XFC433" i="57" l="1"/>
  <c r="L434" i="57"/>
  <c r="XFC434" i="57" l="1"/>
  <c r="L435" i="57"/>
  <c r="L436" i="57" l="1"/>
  <c r="XFC435" i="57"/>
  <c r="L437" i="57" l="1"/>
  <c r="XFC436" i="57"/>
  <c r="XFC437" i="57" l="1"/>
  <c r="L438" i="57"/>
  <c r="XFC438" i="57" l="1"/>
  <c r="L439" i="57"/>
  <c r="L440" i="57" l="1"/>
  <c r="XFC439" i="57"/>
  <c r="L441" i="57" l="1"/>
  <c r="XFC440" i="57"/>
  <c r="XFC441" i="57" l="1"/>
  <c r="L442" i="57"/>
  <c r="L443" i="57" l="1"/>
  <c r="XFC442" i="57"/>
  <c r="XFC443" i="57" l="1"/>
  <c r="L444" i="57"/>
  <c r="XFC444" i="57" l="1"/>
  <c r="L445" i="57"/>
  <c r="XFC445" i="57" l="1"/>
  <c r="L446" i="57"/>
  <c r="XFC446" i="57" l="1"/>
  <c r="L447" i="57"/>
  <c r="L448" i="57" l="1"/>
  <c r="XFC447" i="57"/>
  <c r="L449" i="57" l="1"/>
  <c r="XFC448" i="57"/>
  <c r="XFC449" i="57" l="1"/>
  <c r="L450" i="57"/>
  <c r="L451" i="57" l="1"/>
  <c r="XFC450" i="57"/>
  <c r="L452" i="57" l="1"/>
  <c r="XFC451" i="57"/>
  <c r="L453" i="57" l="1"/>
  <c r="XFC452" i="57"/>
  <c r="L454" i="57" l="1"/>
  <c r="XFC453" i="57"/>
  <c r="L455" i="57" l="1"/>
  <c r="XFC454" i="57"/>
  <c r="XFC455" i="57" l="1"/>
  <c r="L456" i="57"/>
  <c r="L457" i="57" l="1"/>
  <c r="XFC456" i="57"/>
  <c r="L458" i="57" l="1"/>
  <c r="XFC457" i="57"/>
  <c r="L459" i="57" l="1"/>
  <c r="XFC458" i="57"/>
  <c r="L460" i="57" l="1"/>
  <c r="XFC459" i="57"/>
  <c r="L461" i="57" l="1"/>
  <c r="XFC460" i="57"/>
  <c r="XFC461" i="57" l="1"/>
  <c r="L462" i="57"/>
  <c r="L463" i="57" l="1"/>
  <c r="XFC462" i="57"/>
  <c r="L464" i="57" l="1"/>
  <c r="XFC463" i="57"/>
  <c r="L465" i="57" l="1"/>
  <c r="XFC464" i="57"/>
  <c r="XFC465" i="57" l="1"/>
  <c r="L466" i="57"/>
  <c r="XFC466" i="57" l="1"/>
  <c r="L467" i="57"/>
  <c r="L468" i="57" l="1"/>
  <c r="XFC467" i="57"/>
  <c r="L469" i="57" l="1"/>
  <c r="XFC468" i="57"/>
  <c r="XFC469" i="57" l="1"/>
  <c r="L470" i="57"/>
  <c r="XFC470" i="57" l="1"/>
  <c r="L471" i="57"/>
  <c r="L472" i="57" l="1"/>
  <c r="XFC471" i="57"/>
  <c r="L473" i="57" l="1"/>
  <c r="XFC472" i="57"/>
  <c r="XFC473" i="57" l="1"/>
  <c r="L474" i="57"/>
  <c r="XFC474" i="57" l="1"/>
  <c r="L475" i="57"/>
  <c r="E29" i="52"/>
  <c r="H29" i="52" s="1"/>
  <c r="B13" i="52"/>
  <c r="E4" i="52"/>
  <c r="H8" i="52" s="1"/>
  <c r="AL53" i="51"/>
  <c r="AL33" i="51"/>
  <c r="L476" i="57" l="1"/>
  <c r="XFC475" i="57"/>
  <c r="E34" i="52"/>
  <c r="E36" i="52" s="1"/>
  <c r="D13" i="52"/>
  <c r="G13" i="52"/>
  <c r="G4" i="52" s="1"/>
  <c r="L477" i="57" l="1"/>
  <c r="XFC476" i="57"/>
  <c r="H4" i="52"/>
  <c r="XFC477" i="57" l="1"/>
  <c r="L478" i="57"/>
  <c r="D18" i="52"/>
  <c r="D20" i="52" s="1"/>
  <c r="XFC478" i="57" l="1"/>
  <c r="L479" i="57"/>
  <c r="E70" i="50"/>
  <c r="B152" i="50"/>
  <c r="A152" i="50"/>
  <c r="B102" i="50"/>
  <c r="A102" i="50"/>
  <c r="L480" i="57" l="1"/>
  <c r="XFC479" i="57"/>
  <c r="C331" i="37"/>
  <c r="C330" i="37"/>
  <c r="D262" i="37"/>
  <c r="C262" i="37"/>
  <c r="D175" i="37"/>
  <c r="D24" i="37"/>
  <c r="D23" i="37"/>
  <c r="B149" i="36"/>
  <c r="A149" i="36"/>
  <c r="B148" i="36"/>
  <c r="A148" i="36"/>
  <c r="B147" i="36"/>
  <c r="A147" i="36"/>
  <c r="B146" i="36"/>
  <c r="A146" i="36"/>
  <c r="B145" i="36"/>
  <c r="A145" i="36"/>
  <c r="B144" i="36"/>
  <c r="A144" i="36"/>
  <c r="B143" i="36"/>
  <c r="A143" i="36"/>
  <c r="A145" i="50" s="1"/>
  <c r="B137" i="36"/>
  <c r="A137" i="36"/>
  <c r="B136" i="36"/>
  <c r="A136" i="36"/>
  <c r="B135" i="36"/>
  <c r="A135" i="36"/>
  <c r="B134" i="36"/>
  <c r="A134" i="36"/>
  <c r="B133" i="36"/>
  <c r="B117" i="35" s="1"/>
  <c r="A133" i="36"/>
  <c r="A117" i="35" s="1"/>
  <c r="B132" i="36"/>
  <c r="A132" i="36"/>
  <c r="B131" i="36"/>
  <c r="B115" i="35" s="1"/>
  <c r="A131" i="36"/>
  <c r="A115" i="35" s="1"/>
  <c r="B130" i="36"/>
  <c r="A130" i="36"/>
  <c r="B129" i="36"/>
  <c r="B113" i="35" s="1"/>
  <c r="A129" i="36"/>
  <c r="A113" i="35" s="1"/>
  <c r="B128" i="36"/>
  <c r="A128" i="36"/>
  <c r="B127" i="36"/>
  <c r="B111" i="35" s="1"/>
  <c r="A127" i="36"/>
  <c r="A111" i="35" s="1"/>
  <c r="B126" i="36"/>
  <c r="A126" i="36"/>
  <c r="B125" i="36"/>
  <c r="B109" i="35" s="1"/>
  <c r="A125" i="36"/>
  <c r="A109" i="35" s="1"/>
  <c r="B124" i="36"/>
  <c r="A124" i="36"/>
  <c r="B123" i="36"/>
  <c r="B107" i="35" s="1"/>
  <c r="A123" i="36"/>
  <c r="A107" i="35" s="1"/>
  <c r="B122" i="36"/>
  <c r="A122" i="36"/>
  <c r="B121" i="36"/>
  <c r="B105" i="35" s="1"/>
  <c r="A121" i="36"/>
  <c r="A105" i="35" s="1"/>
  <c r="B120" i="36"/>
  <c r="A120" i="36"/>
  <c r="B119" i="36"/>
  <c r="B103" i="35" s="1"/>
  <c r="A119" i="36"/>
  <c r="A103" i="35" s="1"/>
  <c r="B118" i="36"/>
  <c r="A118" i="36"/>
  <c r="B117" i="36"/>
  <c r="B101" i="35" s="1"/>
  <c r="A117" i="36"/>
  <c r="A101" i="35" s="1"/>
  <c r="B116" i="36"/>
  <c r="A116" i="36"/>
  <c r="B115" i="36"/>
  <c r="B99" i="35" s="1"/>
  <c r="A115" i="36"/>
  <c r="A99" i="35" s="1"/>
  <c r="B114" i="36"/>
  <c r="A114" i="36"/>
  <c r="B113" i="36"/>
  <c r="B97" i="35" s="1"/>
  <c r="A113" i="36"/>
  <c r="E113" i="36" s="1"/>
  <c r="B112" i="36"/>
  <c r="A112" i="36"/>
  <c r="B111" i="36"/>
  <c r="B95" i="35" s="1"/>
  <c r="A111" i="36"/>
  <c r="E111" i="36" s="1"/>
  <c r="B110" i="36"/>
  <c r="A110" i="36"/>
  <c r="B109" i="36"/>
  <c r="B93" i="35" s="1"/>
  <c r="A109" i="36"/>
  <c r="A93" i="35" s="1"/>
  <c r="B108" i="36"/>
  <c r="A108" i="36"/>
  <c r="B107" i="36"/>
  <c r="B91" i="35" s="1"/>
  <c r="A107" i="36"/>
  <c r="E107" i="36" s="1"/>
  <c r="B106" i="36"/>
  <c r="A106" i="36"/>
  <c r="B105" i="36"/>
  <c r="B89" i="35" s="1"/>
  <c r="A105" i="36"/>
  <c r="A89" i="35" s="1"/>
  <c r="B104" i="36"/>
  <c r="A104" i="36"/>
  <c r="B101" i="36"/>
  <c r="B87" i="35" s="1"/>
  <c r="A101" i="36"/>
  <c r="E101" i="36" s="1"/>
  <c r="B100" i="36"/>
  <c r="A100" i="36"/>
  <c r="B99" i="36"/>
  <c r="B85" i="35" s="1"/>
  <c r="A99" i="36"/>
  <c r="D99" i="36" s="1"/>
  <c r="B98" i="36"/>
  <c r="A98" i="36"/>
  <c r="B97" i="36"/>
  <c r="A97" i="36"/>
  <c r="A83" i="35" s="1"/>
  <c r="B96" i="36"/>
  <c r="A96" i="36"/>
  <c r="B95" i="36"/>
  <c r="A95" i="36"/>
  <c r="D95" i="36" s="1"/>
  <c r="B94" i="36"/>
  <c r="A94" i="36"/>
  <c r="B93" i="36"/>
  <c r="A93" i="36"/>
  <c r="A79" i="35" s="1"/>
  <c r="B92" i="36"/>
  <c r="A92" i="36"/>
  <c r="B91" i="36"/>
  <c r="A91" i="36"/>
  <c r="A77" i="35" s="1"/>
  <c r="B90" i="36"/>
  <c r="A90" i="36"/>
  <c r="B89" i="36"/>
  <c r="A89" i="36"/>
  <c r="A75" i="35" s="1"/>
  <c r="B88" i="36"/>
  <c r="A88" i="36"/>
  <c r="B87" i="36"/>
  <c r="A87" i="36"/>
  <c r="E87" i="36" s="1"/>
  <c r="B86" i="36"/>
  <c r="A86" i="36"/>
  <c r="C77" i="36"/>
  <c r="B77" i="36"/>
  <c r="A77" i="36"/>
  <c r="B62" i="36"/>
  <c r="A62" i="36"/>
  <c r="A38" i="36"/>
  <c r="B22" i="36"/>
  <c r="A22" i="36"/>
  <c r="B14" i="36"/>
  <c r="A14" i="36"/>
  <c r="B13" i="36"/>
  <c r="A13" i="36"/>
  <c r="A140" i="12"/>
  <c r="A100" i="12"/>
  <c r="A92" i="12"/>
  <c r="A91" i="12"/>
  <c r="D185" i="34"/>
  <c r="D25" i="35"/>
  <c r="B52" i="35"/>
  <c r="A52" i="35"/>
  <c r="B51" i="35"/>
  <c r="A51" i="35"/>
  <c r="B50" i="35"/>
  <c r="A50" i="35"/>
  <c r="B49" i="35"/>
  <c r="A49" i="35"/>
  <c r="B48" i="35"/>
  <c r="A48" i="35"/>
  <c r="B47" i="35"/>
  <c r="A47" i="35"/>
  <c r="B46" i="35"/>
  <c r="A46" i="35"/>
  <c r="B45" i="35"/>
  <c r="A45" i="35"/>
  <c r="B44" i="35"/>
  <c r="A44" i="35"/>
  <c r="B43" i="35"/>
  <c r="A43" i="35"/>
  <c r="B42" i="35"/>
  <c r="A42" i="35"/>
  <c r="B41" i="35"/>
  <c r="A41" i="35"/>
  <c r="B40" i="35"/>
  <c r="A40" i="35"/>
  <c r="B39" i="35"/>
  <c r="A39" i="35"/>
  <c r="B38" i="35"/>
  <c r="A38" i="35"/>
  <c r="B37" i="35"/>
  <c r="A37" i="35"/>
  <c r="B36" i="35"/>
  <c r="A36" i="35"/>
  <c r="B35" i="35"/>
  <c r="A35" i="35"/>
  <c r="B34" i="35"/>
  <c r="A34" i="35"/>
  <c r="B33" i="35"/>
  <c r="A33" i="35"/>
  <c r="B32" i="35"/>
  <c r="A32" i="35"/>
  <c r="B31" i="35"/>
  <c r="A31" i="35"/>
  <c r="B30" i="35"/>
  <c r="A30" i="35"/>
  <c r="B29" i="35"/>
  <c r="A29" i="35"/>
  <c r="B28" i="35"/>
  <c r="A28" i="35"/>
  <c r="B27" i="35"/>
  <c r="A27" i="35"/>
  <c r="B26" i="35"/>
  <c r="A26" i="35"/>
  <c r="B25" i="35"/>
  <c r="A25" i="35"/>
  <c r="B24" i="35"/>
  <c r="A24" i="35"/>
  <c r="B23" i="35"/>
  <c r="A23" i="35"/>
  <c r="B22" i="35"/>
  <c r="A22" i="35"/>
  <c r="B21" i="35"/>
  <c r="A21" i="35"/>
  <c r="B20" i="35"/>
  <c r="A20" i="35"/>
  <c r="B19" i="35"/>
  <c r="A19" i="35"/>
  <c r="B18" i="35"/>
  <c r="A18" i="35"/>
  <c r="B17" i="35"/>
  <c r="A17" i="35"/>
  <c r="B16" i="35"/>
  <c r="A16" i="35"/>
  <c r="B15" i="35"/>
  <c r="A15" i="35"/>
  <c r="B14" i="35"/>
  <c r="A14" i="35"/>
  <c r="B13" i="35"/>
  <c r="A13" i="35"/>
  <c r="B12" i="35"/>
  <c r="A12" i="35"/>
  <c r="B11" i="35"/>
  <c r="A11" i="35"/>
  <c r="B10" i="35"/>
  <c r="A10" i="35"/>
  <c r="B9" i="35"/>
  <c r="A9" i="35"/>
  <c r="B8" i="35"/>
  <c r="A8" i="35"/>
  <c r="B7" i="35"/>
  <c r="A7" i="35"/>
  <c r="E134" i="29"/>
  <c r="E133" i="29"/>
  <c r="C327" i="34"/>
  <c r="E119" i="29"/>
  <c r="E118" i="29"/>
  <c r="C75" i="34"/>
  <c r="C14" i="34"/>
  <c r="C13" i="34"/>
  <c r="B29" i="29"/>
  <c r="B29" i="36" s="1"/>
  <c r="A29" i="29"/>
  <c r="E29" i="29" s="1"/>
  <c r="C66" i="29"/>
  <c r="C65" i="29"/>
  <c r="C63" i="29"/>
  <c r="C178" i="34" s="1"/>
  <c r="C76" i="29"/>
  <c r="C75" i="29"/>
  <c r="B76" i="29"/>
  <c r="B76" i="36" s="1"/>
  <c r="A76" i="29"/>
  <c r="A76" i="36" s="1"/>
  <c r="B75" i="29"/>
  <c r="B75" i="36" s="1"/>
  <c r="A75" i="29"/>
  <c r="A75" i="36" s="1"/>
  <c r="B74" i="29"/>
  <c r="B74" i="36" s="1"/>
  <c r="A74" i="29"/>
  <c r="A74" i="36" s="1"/>
  <c r="B73" i="29"/>
  <c r="B73" i="36" s="1"/>
  <c r="A73" i="29"/>
  <c r="A73" i="36" s="1"/>
  <c r="B68" i="29"/>
  <c r="B68" i="36" s="1"/>
  <c r="A68" i="29"/>
  <c r="A68" i="36" s="1"/>
  <c r="B67" i="29"/>
  <c r="B67" i="36" s="1"/>
  <c r="A67" i="29"/>
  <c r="A67" i="36" s="1"/>
  <c r="B64" i="29"/>
  <c r="A64" i="29"/>
  <c r="A64" i="36" s="1"/>
  <c r="B61" i="29"/>
  <c r="B61" i="36" s="1"/>
  <c r="A61" i="29"/>
  <c r="A61" i="36" s="1"/>
  <c r="B60" i="29"/>
  <c r="A60" i="29"/>
  <c r="A60" i="36" s="1"/>
  <c r="B59" i="29"/>
  <c r="B59" i="36" s="1"/>
  <c r="A59" i="29"/>
  <c r="A59" i="36" s="1"/>
  <c r="B58" i="29"/>
  <c r="B58" i="36" s="1"/>
  <c r="A58" i="29"/>
  <c r="A58" i="36" s="1"/>
  <c r="B57" i="29"/>
  <c r="B57" i="36" s="1"/>
  <c r="A57" i="29"/>
  <c r="A57" i="36" s="1"/>
  <c r="B56" i="29"/>
  <c r="B56" i="36" s="1"/>
  <c r="A56" i="29"/>
  <c r="A56" i="36" s="1"/>
  <c r="C51" i="29"/>
  <c r="B51" i="29"/>
  <c r="B51" i="36" s="1"/>
  <c r="A51" i="29"/>
  <c r="A51" i="36" s="1"/>
  <c r="B50" i="29"/>
  <c r="B50" i="36" s="1"/>
  <c r="A50" i="29"/>
  <c r="A50" i="36" s="1"/>
  <c r="B49" i="29"/>
  <c r="B49" i="36" s="1"/>
  <c r="A49" i="29"/>
  <c r="A49" i="36" s="1"/>
  <c r="C48" i="29"/>
  <c r="C47" i="29"/>
  <c r="C46" i="29"/>
  <c r="C45" i="29"/>
  <c r="C44" i="29"/>
  <c r="B43" i="29"/>
  <c r="B43" i="36" s="1"/>
  <c r="A43" i="29"/>
  <c r="A43" i="36" s="1"/>
  <c r="B42" i="29"/>
  <c r="B42" i="36" s="1"/>
  <c r="A42" i="29"/>
  <c r="A42" i="36" s="1"/>
  <c r="B41" i="29"/>
  <c r="B41" i="36" s="1"/>
  <c r="A41" i="29"/>
  <c r="A41" i="36" s="1"/>
  <c r="B40" i="29"/>
  <c r="B40" i="36" s="1"/>
  <c r="A40" i="29"/>
  <c r="A40" i="36" s="1"/>
  <c r="B39" i="29"/>
  <c r="B39" i="36" s="1"/>
  <c r="A39" i="29"/>
  <c r="A39" i="36" s="1"/>
  <c r="B38" i="29"/>
  <c r="B38" i="36" s="1"/>
  <c r="A38" i="29"/>
  <c r="B33" i="29"/>
  <c r="B33" i="36" s="1"/>
  <c r="A33" i="29"/>
  <c r="E33" i="29" s="1"/>
  <c r="B12" i="29"/>
  <c r="B12" i="36" s="1"/>
  <c r="A12" i="29"/>
  <c r="E12" i="29" s="1"/>
  <c r="B11" i="29"/>
  <c r="B11" i="36" s="1"/>
  <c r="C10" i="29"/>
  <c r="B10" i="29"/>
  <c r="B10" i="36" s="1"/>
  <c r="A10" i="29"/>
  <c r="A10" i="36" s="1"/>
  <c r="C9" i="29"/>
  <c r="B9" i="29"/>
  <c r="B9" i="36" s="1"/>
  <c r="A9" i="29"/>
  <c r="D9" i="29" s="1"/>
  <c r="C8" i="29"/>
  <c r="B8" i="29"/>
  <c r="B8" i="36" s="1"/>
  <c r="A8" i="29"/>
  <c r="A8" i="36" s="1"/>
  <c r="B63" i="12"/>
  <c r="B62" i="12"/>
  <c r="C62" i="12" s="1"/>
  <c r="B60" i="12"/>
  <c r="C60" i="12" s="1"/>
  <c r="B59" i="12"/>
  <c r="C59" i="12" s="1"/>
  <c r="B58" i="12"/>
  <c r="C58" i="12" s="1"/>
  <c r="B57" i="12"/>
  <c r="C57" i="12" s="1"/>
  <c r="B56" i="12"/>
  <c r="C56" i="12" s="1"/>
  <c r="B55" i="12"/>
  <c r="B54" i="12"/>
  <c r="B49" i="12"/>
  <c r="B46" i="12"/>
  <c r="C46" i="12" s="1"/>
  <c r="B45" i="12"/>
  <c r="C45" i="12" s="1"/>
  <c r="B44" i="12"/>
  <c r="C44" i="12" s="1"/>
  <c r="B43" i="12"/>
  <c r="C43" i="12" s="1"/>
  <c r="B42" i="12"/>
  <c r="C42" i="12" s="1"/>
  <c r="B21" i="12"/>
  <c r="C21" i="12" s="1"/>
  <c r="B20" i="12"/>
  <c r="C20" i="12" s="1"/>
  <c r="B19" i="12"/>
  <c r="C19" i="12" s="1"/>
  <c r="B18" i="12"/>
  <c r="C18" i="12" s="1"/>
  <c r="B17" i="12"/>
  <c r="C17" i="12" s="1"/>
  <c r="B15" i="12"/>
  <c r="B11" i="12"/>
  <c r="B10" i="12"/>
  <c r="B9" i="12"/>
  <c r="B8" i="12"/>
  <c r="A65" i="12"/>
  <c r="A64" i="12"/>
  <c r="A61" i="12"/>
  <c r="A60" i="12"/>
  <c r="A59" i="12"/>
  <c r="A58" i="12"/>
  <c r="A57" i="12"/>
  <c r="A56" i="12"/>
  <c r="A55" i="12"/>
  <c r="A54" i="12"/>
  <c r="A49" i="12"/>
  <c r="A48" i="12"/>
  <c r="A47" i="12"/>
  <c r="A41" i="12"/>
  <c r="A40" i="12"/>
  <c r="A39" i="12"/>
  <c r="A38" i="12"/>
  <c r="A37" i="12"/>
  <c r="A36" i="12"/>
  <c r="A31" i="12"/>
  <c r="A28" i="12"/>
  <c r="A27" i="12"/>
  <c r="A26" i="12"/>
  <c r="A25" i="12"/>
  <c r="A24" i="12"/>
  <c r="A23" i="12"/>
  <c r="A22" i="12"/>
  <c r="A21" i="12"/>
  <c r="A20" i="12"/>
  <c r="A19" i="12"/>
  <c r="A18" i="12"/>
  <c r="A17" i="12"/>
  <c r="A16" i="12"/>
  <c r="A15" i="12"/>
  <c r="A14" i="12"/>
  <c r="A13" i="12"/>
  <c r="A12" i="12"/>
  <c r="A11" i="12"/>
  <c r="A10" i="12"/>
  <c r="A9" i="12"/>
  <c r="C14" i="2"/>
  <c r="B16" i="12" s="1"/>
  <c r="C62" i="2"/>
  <c r="C67" i="29" s="1"/>
  <c r="O15" i="10"/>
  <c r="V15" i="10" s="1"/>
  <c r="E58" i="9"/>
  <c r="C59" i="9"/>
  <c r="E59" i="9" s="1"/>
  <c r="E39" i="9"/>
  <c r="C40" i="9"/>
  <c r="E40" i="9" s="1"/>
  <c r="E18" i="9"/>
  <c r="C19" i="9"/>
  <c r="E19" i="9" s="1"/>
  <c r="D76" i="8"/>
  <c r="D88" i="8" s="1"/>
  <c r="D75" i="8"/>
  <c r="G75" i="8" s="1"/>
  <c r="D74" i="8"/>
  <c r="B89" i="8"/>
  <c r="B88" i="8"/>
  <c r="B87" i="8"/>
  <c r="D86" i="8"/>
  <c r="C86" i="8"/>
  <c r="B86" i="8"/>
  <c r="B85" i="8"/>
  <c r="D84" i="8"/>
  <c r="E84" i="8" s="1"/>
  <c r="C84" i="8"/>
  <c r="B84" i="8"/>
  <c r="C78" i="8"/>
  <c r="F77" i="8"/>
  <c r="G77" i="8" s="1"/>
  <c r="D77" i="8"/>
  <c r="E77" i="8" s="1"/>
  <c r="F76" i="8"/>
  <c r="F75" i="8"/>
  <c r="F74" i="8"/>
  <c r="G74" i="8" s="1"/>
  <c r="C85" i="8" s="1"/>
  <c r="E73" i="8"/>
  <c r="E72" i="8"/>
  <c r="E71" i="8"/>
  <c r="E70" i="8"/>
  <c r="D45" i="8"/>
  <c r="E45" i="8" s="1"/>
  <c r="D44" i="8"/>
  <c r="G44" i="8" s="1"/>
  <c r="D43" i="8"/>
  <c r="G43" i="8" s="1"/>
  <c r="D42" i="8"/>
  <c r="D112" i="37" s="1"/>
  <c r="E40" i="8"/>
  <c r="C328" i="34" s="1"/>
  <c r="B57" i="8"/>
  <c r="B56" i="8"/>
  <c r="B55" i="8"/>
  <c r="D54" i="8"/>
  <c r="C54" i="8"/>
  <c r="B54" i="8"/>
  <c r="B53" i="8"/>
  <c r="D52" i="8"/>
  <c r="C52" i="8"/>
  <c r="B52" i="8"/>
  <c r="C46" i="8"/>
  <c r="F45" i="8"/>
  <c r="G45" i="8" s="1"/>
  <c r="F44" i="8"/>
  <c r="F43" i="8"/>
  <c r="F42" i="8"/>
  <c r="G42" i="8" s="1"/>
  <c r="E41" i="8"/>
  <c r="E39" i="8"/>
  <c r="E38" i="8"/>
  <c r="C23" i="8"/>
  <c r="C21" i="8"/>
  <c r="C29" i="2"/>
  <c r="C33" i="29" s="1"/>
  <c r="C46" i="2"/>
  <c r="C50" i="29" s="1"/>
  <c r="C45" i="2"/>
  <c r="C49" i="29" s="1"/>
  <c r="C33" i="2"/>
  <c r="B35" i="12" s="1"/>
  <c r="C32" i="2"/>
  <c r="C36" i="29" s="1"/>
  <c r="C31" i="2"/>
  <c r="B33" i="12" s="1"/>
  <c r="C30" i="2"/>
  <c r="C34" i="29" s="1"/>
  <c r="C28" i="2"/>
  <c r="C32" i="29" s="1"/>
  <c r="C27" i="2"/>
  <c r="B29" i="12" s="1"/>
  <c r="C29" i="12" s="1"/>
  <c r="F14" i="8"/>
  <c r="G14" i="8" s="1"/>
  <c r="F13" i="8"/>
  <c r="F12" i="8"/>
  <c r="F11" i="8"/>
  <c r="G11" i="8" s="1"/>
  <c r="E10" i="8"/>
  <c r="E9" i="8"/>
  <c r="E8" i="8"/>
  <c r="F12" i="7"/>
  <c r="D106" i="6"/>
  <c r="B59" i="6"/>
  <c r="D59" i="6" s="1"/>
  <c r="B18" i="6"/>
  <c r="F18" i="6" s="1"/>
  <c r="F105" i="6"/>
  <c r="D104" i="6"/>
  <c r="B58" i="6"/>
  <c r="F58" i="6" s="1"/>
  <c r="B57" i="6"/>
  <c r="F57" i="6" s="1"/>
  <c r="D110" i="6"/>
  <c r="D109" i="6"/>
  <c r="F102" i="6"/>
  <c r="F101" i="6"/>
  <c r="E129" i="29"/>
  <c r="E130" i="29"/>
  <c r="D130" i="29"/>
  <c r="D62" i="6"/>
  <c r="D56" i="6"/>
  <c r="D63" i="6"/>
  <c r="F59" i="6"/>
  <c r="F55" i="6"/>
  <c r="D55" i="6"/>
  <c r="F54" i="6"/>
  <c r="D54" i="6"/>
  <c r="D24" i="34"/>
  <c r="D23" i="34"/>
  <c r="B25" i="29"/>
  <c r="B25" i="36" s="1"/>
  <c r="A25" i="29"/>
  <c r="A25" i="36" s="1"/>
  <c r="B16" i="6"/>
  <c r="F16" i="6" s="1"/>
  <c r="B15" i="6"/>
  <c r="D15" i="6" s="1"/>
  <c r="F17" i="6"/>
  <c r="F14" i="6"/>
  <c r="F13" i="6"/>
  <c r="D17" i="6"/>
  <c r="D14" i="6"/>
  <c r="D13" i="6"/>
  <c r="D22" i="6"/>
  <c r="D21" i="6"/>
  <c r="D77" i="34"/>
  <c r="D71" i="34"/>
  <c r="F65" i="3"/>
  <c r="E77" i="3" s="1"/>
  <c r="F64" i="3"/>
  <c r="E75" i="3" s="1"/>
  <c r="E14" i="29"/>
  <c r="E29" i="3"/>
  <c r="D41" i="3" s="1"/>
  <c r="E41" i="3" s="1"/>
  <c r="E53" i="3" s="1"/>
  <c r="C30" i="3"/>
  <c r="E28" i="3"/>
  <c r="D39" i="3" s="1"/>
  <c r="E39" i="3" s="1"/>
  <c r="E9" i="3"/>
  <c r="D18" i="3" s="1"/>
  <c r="E18" i="3" s="1"/>
  <c r="C11" i="2" s="1"/>
  <c r="C12" i="29" s="1"/>
  <c r="E137" i="29"/>
  <c r="D137" i="29"/>
  <c r="E135" i="29"/>
  <c r="E132" i="29"/>
  <c r="E131" i="29"/>
  <c r="D131" i="29"/>
  <c r="E128" i="29"/>
  <c r="E126" i="29"/>
  <c r="D126" i="29"/>
  <c r="E123" i="29"/>
  <c r="E122" i="29"/>
  <c r="E121" i="29"/>
  <c r="E120" i="29"/>
  <c r="D120" i="29"/>
  <c r="E117" i="29"/>
  <c r="D117" i="29"/>
  <c r="E116" i="29"/>
  <c r="D116" i="29"/>
  <c r="E114" i="29"/>
  <c r="D114" i="29"/>
  <c r="E113" i="29"/>
  <c r="D113" i="29"/>
  <c r="E112" i="29"/>
  <c r="D112" i="29"/>
  <c r="E111" i="29"/>
  <c r="E109" i="29"/>
  <c r="E108" i="29"/>
  <c r="E107" i="29"/>
  <c r="D107" i="29"/>
  <c r="E106" i="29"/>
  <c r="E105" i="29"/>
  <c r="E101" i="29"/>
  <c r="D101" i="29"/>
  <c r="E99" i="29"/>
  <c r="D99" i="29"/>
  <c r="D98" i="29"/>
  <c r="D97" i="29"/>
  <c r="D96" i="29"/>
  <c r="D94" i="29"/>
  <c r="D93" i="29"/>
  <c r="E92" i="29"/>
  <c r="D91" i="29"/>
  <c r="E90" i="29"/>
  <c r="D90" i="29"/>
  <c r="E89" i="29"/>
  <c r="D89" i="29"/>
  <c r="E87" i="29"/>
  <c r="D87" i="29"/>
  <c r="E86" i="29"/>
  <c r="D86" i="29"/>
  <c r="E77" i="29"/>
  <c r="D77" i="29"/>
  <c r="E13" i="29"/>
  <c r="B13" i="12" l="1"/>
  <c r="A128" i="12"/>
  <c r="B142" i="48"/>
  <c r="B145" i="50"/>
  <c r="A86" i="12"/>
  <c r="A90" i="12"/>
  <c r="A136" i="12"/>
  <c r="XFC480" i="57"/>
  <c r="L481" i="57"/>
  <c r="A23" i="50"/>
  <c r="A24" i="48"/>
  <c r="E25" i="36"/>
  <c r="A47" i="50"/>
  <c r="A48" i="48"/>
  <c r="E49" i="36"/>
  <c r="D49" i="36"/>
  <c r="A49" i="50"/>
  <c r="A50" i="48"/>
  <c r="D51" i="36"/>
  <c r="E51" i="36"/>
  <c r="A37" i="50"/>
  <c r="A38" i="48"/>
  <c r="D39" i="36"/>
  <c r="A39" i="50"/>
  <c r="A40" i="48"/>
  <c r="D41" i="36"/>
  <c r="A41" i="50"/>
  <c r="A42" i="48"/>
  <c r="D43" i="36"/>
  <c r="A55" i="50"/>
  <c r="A56" i="48"/>
  <c r="E57" i="36"/>
  <c r="A57" i="50"/>
  <c r="A58" i="48"/>
  <c r="E59" i="36"/>
  <c r="A59" i="50"/>
  <c r="A60" i="48"/>
  <c r="A72" i="50"/>
  <c r="A72" i="48"/>
  <c r="D73" i="36"/>
  <c r="A74" i="50"/>
  <c r="A74" i="48"/>
  <c r="D75" i="36"/>
  <c r="B6" i="50"/>
  <c r="B7" i="48"/>
  <c r="A164" i="12"/>
  <c r="A48" i="50"/>
  <c r="A49" i="48"/>
  <c r="E50" i="36"/>
  <c r="A8" i="50"/>
  <c r="A9" i="48"/>
  <c r="E9" i="48" s="1"/>
  <c r="A38" i="50"/>
  <c r="A39" i="48"/>
  <c r="D40" i="36"/>
  <c r="A54" i="50"/>
  <c r="A55" i="48"/>
  <c r="E56" i="36"/>
  <c r="A58" i="50"/>
  <c r="A59" i="48"/>
  <c r="E60" i="36"/>
  <c r="A62" i="50"/>
  <c r="A63" i="48"/>
  <c r="A66" i="50"/>
  <c r="A67" i="48"/>
  <c r="A75" i="50"/>
  <c r="A75" i="48"/>
  <c r="E76" i="36"/>
  <c r="D76" i="36"/>
  <c r="B47" i="12"/>
  <c r="C47" i="12" s="1"/>
  <c r="B64" i="12"/>
  <c r="B9" i="50"/>
  <c r="A167" i="12"/>
  <c r="B10" i="48"/>
  <c r="B47" i="50"/>
  <c r="A205" i="12"/>
  <c r="B48" i="48"/>
  <c r="B49" i="50"/>
  <c r="B50" i="48"/>
  <c r="A207" i="12"/>
  <c r="B27" i="50"/>
  <c r="B28" i="48"/>
  <c r="A185" i="12"/>
  <c r="A89" i="12"/>
  <c r="A111" i="12"/>
  <c r="A119" i="12"/>
  <c r="A127" i="12"/>
  <c r="A135" i="12"/>
  <c r="A33" i="36"/>
  <c r="A76" i="50"/>
  <c r="A76" i="48"/>
  <c r="E77" i="36"/>
  <c r="D77" i="36"/>
  <c r="B86" i="50"/>
  <c r="B85" i="48"/>
  <c r="B72" i="35"/>
  <c r="B88" i="50"/>
  <c r="B87" i="48"/>
  <c r="B74" i="35"/>
  <c r="B90" i="50"/>
  <c r="B89" i="48"/>
  <c r="B76" i="35"/>
  <c r="B92" i="50"/>
  <c r="B91" i="48"/>
  <c r="B78" i="35"/>
  <c r="B94" i="50"/>
  <c r="B93" i="48"/>
  <c r="B80" i="35"/>
  <c r="B96" i="50"/>
  <c r="B95" i="48"/>
  <c r="B82" i="35"/>
  <c r="B8" i="50"/>
  <c r="B9" i="48"/>
  <c r="A166" i="12"/>
  <c r="B36" i="50"/>
  <c r="B37" i="48"/>
  <c r="A194" i="12"/>
  <c r="B38" i="50"/>
  <c r="B39" i="48"/>
  <c r="A196" i="12"/>
  <c r="B40" i="50"/>
  <c r="B41" i="48"/>
  <c r="A198" i="12"/>
  <c r="B55" i="50"/>
  <c r="B56" i="48"/>
  <c r="A213" i="12"/>
  <c r="B57" i="50"/>
  <c r="B58" i="48"/>
  <c r="A215" i="12"/>
  <c r="B59" i="50"/>
  <c r="B60" i="48"/>
  <c r="A217" i="12"/>
  <c r="B65" i="50"/>
  <c r="B66" i="48"/>
  <c r="A223" i="12"/>
  <c r="B72" i="50"/>
  <c r="B72" i="48"/>
  <c r="B74" i="50"/>
  <c r="B74" i="48"/>
  <c r="A116" i="12"/>
  <c r="A120" i="12"/>
  <c r="A6" i="50"/>
  <c r="A7" i="48"/>
  <c r="E7" i="48" s="1"/>
  <c r="E8" i="36"/>
  <c r="D8" i="36"/>
  <c r="A12" i="50"/>
  <c r="A13" i="48"/>
  <c r="D14" i="36"/>
  <c r="A36" i="50"/>
  <c r="A37" i="48"/>
  <c r="D38" i="36"/>
  <c r="A40" i="50"/>
  <c r="A41" i="48"/>
  <c r="D42" i="36"/>
  <c r="A56" i="50"/>
  <c r="A57" i="48"/>
  <c r="E58" i="36"/>
  <c r="A60" i="50"/>
  <c r="A61" i="48"/>
  <c r="A65" i="50"/>
  <c r="A66" i="48"/>
  <c r="A73" i="50"/>
  <c r="A73" i="48"/>
  <c r="B23" i="50"/>
  <c r="B24" i="48"/>
  <c r="A181" i="12"/>
  <c r="B31" i="12"/>
  <c r="B7" i="50"/>
  <c r="B8" i="48"/>
  <c r="A165" i="12"/>
  <c r="B31" i="50"/>
  <c r="A189" i="12"/>
  <c r="B32" i="48"/>
  <c r="B48" i="50"/>
  <c r="B49" i="48"/>
  <c r="A206" i="12"/>
  <c r="A87" i="12"/>
  <c r="A103" i="12"/>
  <c r="A107" i="12"/>
  <c r="A117" i="12"/>
  <c r="A121" i="12"/>
  <c r="A129" i="12"/>
  <c r="A137" i="12"/>
  <c r="A145" i="12"/>
  <c r="A12" i="36"/>
  <c r="A20" i="50"/>
  <c r="A21" i="48"/>
  <c r="A29" i="36"/>
  <c r="B87" i="50"/>
  <c r="B86" i="48"/>
  <c r="B73" i="35"/>
  <c r="B89" i="50"/>
  <c r="B88" i="48"/>
  <c r="B75" i="35"/>
  <c r="B91" i="50"/>
  <c r="B90" i="48"/>
  <c r="B77" i="35"/>
  <c r="B93" i="50"/>
  <c r="B92" i="48"/>
  <c r="B79" i="35"/>
  <c r="B95" i="50"/>
  <c r="B94" i="48"/>
  <c r="B81" i="35"/>
  <c r="B97" i="50"/>
  <c r="B96" i="48"/>
  <c r="B83" i="35"/>
  <c r="D113" i="37"/>
  <c r="C119" i="37" s="1"/>
  <c r="D146" i="36" s="1"/>
  <c r="B10" i="50"/>
  <c r="B11" i="48"/>
  <c r="A168" i="12"/>
  <c r="C35" i="29"/>
  <c r="B37" i="50"/>
  <c r="B38" i="48"/>
  <c r="A195" i="12"/>
  <c r="B39" i="50"/>
  <c r="A197" i="12"/>
  <c r="B40" i="48"/>
  <c r="B41" i="50"/>
  <c r="B42" i="48"/>
  <c r="A199" i="12"/>
  <c r="B54" i="50"/>
  <c r="A212" i="12"/>
  <c r="B55" i="48"/>
  <c r="B56" i="50"/>
  <c r="B57" i="48"/>
  <c r="A214" i="12"/>
  <c r="B60" i="36"/>
  <c r="A138" i="12"/>
  <c r="B64" i="36"/>
  <c r="A142" i="12"/>
  <c r="B66" i="50"/>
  <c r="A224" i="12"/>
  <c r="B67" i="48"/>
  <c r="B73" i="50"/>
  <c r="B73" i="48"/>
  <c r="B75" i="50"/>
  <c r="B75" i="48"/>
  <c r="A88" i="12"/>
  <c r="A118" i="12"/>
  <c r="A134" i="12"/>
  <c r="A139" i="12"/>
  <c r="A146" i="12"/>
  <c r="A9" i="36"/>
  <c r="A11" i="50"/>
  <c r="A12" i="48"/>
  <c r="E13" i="36"/>
  <c r="D13" i="36"/>
  <c r="B11" i="50"/>
  <c r="B12" i="48"/>
  <c r="A169" i="12"/>
  <c r="A86" i="50"/>
  <c r="A85" i="48"/>
  <c r="A88" i="50"/>
  <c r="A87" i="48"/>
  <c r="A90" i="50"/>
  <c r="A89" i="48"/>
  <c r="A92" i="50"/>
  <c r="A91" i="48"/>
  <c r="A94" i="50"/>
  <c r="A93" i="48"/>
  <c r="A96" i="50"/>
  <c r="A95" i="48"/>
  <c r="A98" i="50"/>
  <c r="A97" i="48"/>
  <c r="A100" i="50"/>
  <c r="A99" i="48"/>
  <c r="A106" i="50"/>
  <c r="A103" i="48"/>
  <c r="A108" i="50"/>
  <c r="A105" i="48"/>
  <c r="A110" i="50"/>
  <c r="A107" i="48"/>
  <c r="A112" i="50"/>
  <c r="A109" i="48"/>
  <c r="A114" i="50"/>
  <c r="A111" i="48"/>
  <c r="A116" i="50"/>
  <c r="A113" i="48"/>
  <c r="E114" i="36"/>
  <c r="A118" i="50"/>
  <c r="A115" i="48"/>
  <c r="A120" i="50"/>
  <c r="A117" i="48"/>
  <c r="E118" i="36"/>
  <c r="A122" i="50"/>
  <c r="A119" i="48"/>
  <c r="E120" i="36"/>
  <c r="D120" i="36"/>
  <c r="A124" i="50"/>
  <c r="E122" i="36"/>
  <c r="A121" i="48"/>
  <c r="A126" i="50"/>
  <c r="A123" i="48"/>
  <c r="E124" i="36"/>
  <c r="D124" i="36"/>
  <c r="A128" i="50"/>
  <c r="A125" i="48"/>
  <c r="E126" i="36"/>
  <c r="D126" i="36"/>
  <c r="A130" i="50"/>
  <c r="E128" i="36"/>
  <c r="A127" i="48"/>
  <c r="A132" i="50"/>
  <c r="E130" i="36"/>
  <c r="A129" i="48"/>
  <c r="D130" i="36"/>
  <c r="A134" i="50"/>
  <c r="A131" i="48"/>
  <c r="E132" i="36"/>
  <c r="A136" i="50"/>
  <c r="A133" i="48"/>
  <c r="E134" i="36"/>
  <c r="A138" i="50"/>
  <c r="A135" i="48"/>
  <c r="E136" i="36"/>
  <c r="D143" i="36"/>
  <c r="A142" i="48"/>
  <c r="A147" i="50"/>
  <c r="A144" i="48"/>
  <c r="E145" i="36"/>
  <c r="A149" i="50"/>
  <c r="A146" i="48"/>
  <c r="E147" i="36"/>
  <c r="A151" i="50"/>
  <c r="A148" i="48"/>
  <c r="E149" i="36"/>
  <c r="A73" i="35"/>
  <c r="A81" i="35"/>
  <c r="A85" i="35"/>
  <c r="A87" i="35"/>
  <c r="A91" i="35"/>
  <c r="A95" i="35"/>
  <c r="A97" i="35"/>
  <c r="D87" i="36"/>
  <c r="D90" i="36"/>
  <c r="D94" i="36"/>
  <c r="D98" i="36"/>
  <c r="D101" i="36"/>
  <c r="D107" i="36"/>
  <c r="B98" i="50"/>
  <c r="B97" i="48"/>
  <c r="B100" i="50"/>
  <c r="B99" i="48"/>
  <c r="B106" i="50"/>
  <c r="B103" i="48"/>
  <c r="B108" i="50"/>
  <c r="B105" i="48"/>
  <c r="B110" i="50"/>
  <c r="B107" i="48"/>
  <c r="B112" i="50"/>
  <c r="B109" i="48"/>
  <c r="B114" i="50"/>
  <c r="B111" i="48"/>
  <c r="B116" i="50"/>
  <c r="B113" i="48"/>
  <c r="B118" i="50"/>
  <c r="B115" i="48"/>
  <c r="B120" i="50"/>
  <c r="B117" i="48"/>
  <c r="B122" i="50"/>
  <c r="B119" i="48"/>
  <c r="B124" i="50"/>
  <c r="B121" i="48"/>
  <c r="B126" i="50"/>
  <c r="B123" i="48"/>
  <c r="B128" i="50"/>
  <c r="B125" i="48"/>
  <c r="B130" i="50"/>
  <c r="B127" i="48"/>
  <c r="B132" i="50"/>
  <c r="B129" i="48"/>
  <c r="B134" i="50"/>
  <c r="B131" i="48"/>
  <c r="B136" i="50"/>
  <c r="B133" i="48"/>
  <c r="B138" i="50"/>
  <c r="B135" i="48"/>
  <c r="B147" i="50"/>
  <c r="B144" i="48"/>
  <c r="B149" i="50"/>
  <c r="B146" i="48"/>
  <c r="B151" i="50"/>
  <c r="B148" i="48"/>
  <c r="E90" i="36"/>
  <c r="D112" i="36"/>
  <c r="D114" i="36"/>
  <c r="B12" i="50"/>
  <c r="B13" i="48"/>
  <c r="A170" i="12"/>
  <c r="B20" i="50"/>
  <c r="B21" i="48"/>
  <c r="A178" i="12"/>
  <c r="B60" i="50"/>
  <c r="B61" i="48"/>
  <c r="A218" i="12"/>
  <c r="B76" i="50"/>
  <c r="B76" i="48"/>
  <c r="A87" i="50"/>
  <c r="A86" i="48"/>
  <c r="A89" i="50"/>
  <c r="A88" i="48"/>
  <c r="A91" i="50"/>
  <c r="A90" i="48"/>
  <c r="A93" i="50"/>
  <c r="A92" i="48"/>
  <c r="A95" i="50"/>
  <c r="A94" i="48"/>
  <c r="A97" i="50"/>
  <c r="A96" i="48"/>
  <c r="A99" i="50"/>
  <c r="A98" i="48"/>
  <c r="A101" i="50"/>
  <c r="A100" i="48"/>
  <c r="A107" i="50"/>
  <c r="A104" i="48"/>
  <c r="A109" i="50"/>
  <c r="A106" i="48"/>
  <c r="A111" i="50"/>
  <c r="A108" i="48"/>
  <c r="A113" i="50"/>
  <c r="A110" i="48"/>
  <c r="A115" i="50"/>
  <c r="A112" i="48"/>
  <c r="A117" i="50"/>
  <c r="E115" i="36"/>
  <c r="A114" i="48"/>
  <c r="A119" i="50"/>
  <c r="E117" i="36"/>
  <c r="A116" i="48"/>
  <c r="D117" i="36"/>
  <c r="A121" i="50"/>
  <c r="E119" i="36"/>
  <c r="A118" i="48"/>
  <c r="A123" i="50"/>
  <c r="E121" i="36"/>
  <c r="A120" i="48"/>
  <c r="A125" i="50"/>
  <c r="A122" i="48"/>
  <c r="E123" i="36"/>
  <c r="A127" i="50"/>
  <c r="D125" i="36"/>
  <c r="A124" i="48"/>
  <c r="E125" i="36"/>
  <c r="A129" i="50"/>
  <c r="A126" i="48"/>
  <c r="A131" i="50"/>
  <c r="E129" i="36"/>
  <c r="A128" i="48"/>
  <c r="D129" i="36"/>
  <c r="A133" i="50"/>
  <c r="E131" i="36"/>
  <c r="A130" i="48"/>
  <c r="D131" i="36"/>
  <c r="A135" i="50"/>
  <c r="E133" i="36"/>
  <c r="A132" i="48"/>
  <c r="A137" i="50"/>
  <c r="E135" i="36"/>
  <c r="A134" i="48"/>
  <c r="A139" i="50"/>
  <c r="E137" i="36"/>
  <c r="D137" i="36"/>
  <c r="A136" i="48"/>
  <c r="A146" i="50"/>
  <c r="A143" i="48"/>
  <c r="A148" i="50"/>
  <c r="E146" i="36"/>
  <c r="A145" i="48"/>
  <c r="A150" i="50"/>
  <c r="E148" i="36"/>
  <c r="A147" i="48"/>
  <c r="A72" i="35"/>
  <c r="A74" i="35"/>
  <c r="A76" i="35"/>
  <c r="A78" i="35"/>
  <c r="A80" i="35"/>
  <c r="A82" i="35"/>
  <c r="A84" i="35"/>
  <c r="A86" i="35"/>
  <c r="A88" i="35"/>
  <c r="A90" i="35"/>
  <c r="A92" i="35"/>
  <c r="A94" i="35"/>
  <c r="A96" i="35"/>
  <c r="A98" i="35"/>
  <c r="A100" i="35"/>
  <c r="A102" i="35"/>
  <c r="A104" i="35"/>
  <c r="A106" i="35"/>
  <c r="A108" i="35"/>
  <c r="A110" i="35"/>
  <c r="A112" i="35"/>
  <c r="A114" i="35"/>
  <c r="A116" i="35"/>
  <c r="A118" i="35"/>
  <c r="D86" i="36"/>
  <c r="D89" i="36"/>
  <c r="D91" i="36"/>
  <c r="D96" i="36"/>
  <c r="E99" i="36"/>
  <c r="E105" i="36"/>
  <c r="E109" i="36"/>
  <c r="E112" i="36"/>
  <c r="D116" i="36"/>
  <c r="B99" i="50"/>
  <c r="B98" i="48"/>
  <c r="B101" i="50"/>
  <c r="B100" i="48"/>
  <c r="B107" i="50"/>
  <c r="B104" i="48"/>
  <c r="B109" i="50"/>
  <c r="B106" i="48"/>
  <c r="B111" i="50"/>
  <c r="B108" i="48"/>
  <c r="B113" i="50"/>
  <c r="B110" i="48"/>
  <c r="B115" i="50"/>
  <c r="B112" i="48"/>
  <c r="B117" i="50"/>
  <c r="B114" i="48"/>
  <c r="B119" i="50"/>
  <c r="B116" i="48"/>
  <c r="B121" i="50"/>
  <c r="B118" i="48"/>
  <c r="B123" i="50"/>
  <c r="B120" i="48"/>
  <c r="B125" i="50"/>
  <c r="B122" i="48"/>
  <c r="B127" i="50"/>
  <c r="B124" i="48"/>
  <c r="B129" i="50"/>
  <c r="B126" i="48"/>
  <c r="B131" i="50"/>
  <c r="B128" i="48"/>
  <c r="B133" i="50"/>
  <c r="B130" i="48"/>
  <c r="B135" i="50"/>
  <c r="B132" i="48"/>
  <c r="B137" i="50"/>
  <c r="B134" i="48"/>
  <c r="B139" i="50"/>
  <c r="B136" i="48"/>
  <c r="B146" i="50"/>
  <c r="B143" i="48"/>
  <c r="B148" i="50"/>
  <c r="B145" i="48"/>
  <c r="B150" i="50"/>
  <c r="B147" i="48"/>
  <c r="B84" i="35"/>
  <c r="B86" i="35"/>
  <c r="B88" i="35"/>
  <c r="B90" i="35"/>
  <c r="B92" i="35"/>
  <c r="B94" i="35"/>
  <c r="B96" i="35"/>
  <c r="B98" i="35"/>
  <c r="B100" i="35"/>
  <c r="B102" i="35"/>
  <c r="B104" i="35"/>
  <c r="B106" i="35"/>
  <c r="B108" i="35"/>
  <c r="B110" i="35"/>
  <c r="B112" i="35"/>
  <c r="B114" i="35"/>
  <c r="B116" i="35"/>
  <c r="B118" i="35"/>
  <c r="E86" i="36"/>
  <c r="E89" i="36"/>
  <c r="D92" i="36"/>
  <c r="E97" i="36"/>
  <c r="D100" i="36"/>
  <c r="E106" i="36"/>
  <c r="E110" i="36"/>
  <c r="D113" i="36"/>
  <c r="E116" i="36"/>
  <c r="D115" i="37"/>
  <c r="E41" i="36" s="1"/>
  <c r="D116" i="37"/>
  <c r="D117" i="37" s="1"/>
  <c r="C121" i="37" s="1"/>
  <c r="D119" i="36" s="1"/>
  <c r="D114" i="37"/>
  <c r="E40" i="36" s="1"/>
  <c r="B32" i="12"/>
  <c r="B48" i="12"/>
  <c r="C37" i="29"/>
  <c r="B30" i="12"/>
  <c r="C30" i="12" s="1"/>
  <c r="B34" i="12"/>
  <c r="D50" i="36"/>
  <c r="E39" i="36"/>
  <c r="E38" i="36"/>
  <c r="C118" i="37"/>
  <c r="D58" i="6"/>
  <c r="D329" i="34"/>
  <c r="E9" i="29"/>
  <c r="D33" i="29"/>
  <c r="D18" i="6"/>
  <c r="E86" i="8"/>
  <c r="F86" i="8" s="1"/>
  <c r="H86" i="8" s="1"/>
  <c r="D89" i="8"/>
  <c r="C87" i="8"/>
  <c r="F78" i="8"/>
  <c r="G76" i="8"/>
  <c r="C88" i="8" s="1"/>
  <c r="E88" i="8" s="1"/>
  <c r="G88" i="8" s="1"/>
  <c r="H88" i="8" s="1"/>
  <c r="D87" i="8"/>
  <c r="D78" i="8"/>
  <c r="D93" i="8" s="1"/>
  <c r="D85" i="8"/>
  <c r="E74" i="8"/>
  <c r="E75" i="8"/>
  <c r="E76" i="8"/>
  <c r="F84" i="8"/>
  <c r="D57" i="8"/>
  <c r="C56" i="8"/>
  <c r="D46" i="8"/>
  <c r="D61" i="8" s="1"/>
  <c r="C57" i="8"/>
  <c r="E52" i="8"/>
  <c r="F52" i="8" s="1"/>
  <c r="E54" i="8"/>
  <c r="F54" i="8" s="1"/>
  <c r="H54" i="8" s="1"/>
  <c r="C55" i="8"/>
  <c r="D53" i="8"/>
  <c r="D55" i="8"/>
  <c r="E42" i="8"/>
  <c r="E43" i="8"/>
  <c r="E44" i="8"/>
  <c r="F46" i="8"/>
  <c r="D56" i="8"/>
  <c r="G46" i="8"/>
  <c r="C26" i="8"/>
  <c r="C22" i="8"/>
  <c r="F15" i="8"/>
  <c r="F106" i="6"/>
  <c r="D105" i="6"/>
  <c r="B107" i="6"/>
  <c r="F104" i="6"/>
  <c r="F103" i="6"/>
  <c r="F130" i="29"/>
  <c r="D57" i="6"/>
  <c r="F56" i="6"/>
  <c r="F60" i="6" s="1"/>
  <c r="B60" i="6"/>
  <c r="D16" i="6"/>
  <c r="F15" i="6"/>
  <c r="F19" i="6" s="1"/>
  <c r="C20" i="2" s="1"/>
  <c r="B22" i="12" s="1"/>
  <c r="C22" i="12" s="1"/>
  <c r="B19" i="6"/>
  <c r="E87" i="3"/>
  <c r="E88" i="3"/>
  <c r="D271" i="37" s="1"/>
  <c r="E14" i="36" s="1"/>
  <c r="E52" i="3"/>
  <c r="F137" i="36" l="1"/>
  <c r="C120" i="37"/>
  <c r="D118" i="36" s="1"/>
  <c r="E56" i="8"/>
  <c r="G56" i="8" s="1"/>
  <c r="H56" i="8" s="1"/>
  <c r="E42" i="36"/>
  <c r="XFC481" i="57"/>
  <c r="L482" i="57"/>
  <c r="D107" i="6"/>
  <c r="E87" i="8"/>
  <c r="G87" i="8" s="1"/>
  <c r="H87" i="8" s="1"/>
  <c r="D60" i="6"/>
  <c r="E43" i="36"/>
  <c r="D122" i="37"/>
  <c r="B62" i="50"/>
  <c r="A220" i="12"/>
  <c r="B63" i="48"/>
  <c r="A10" i="50"/>
  <c r="A11" i="48"/>
  <c r="D12" i="36"/>
  <c r="A31" i="50"/>
  <c r="A32" i="48"/>
  <c r="E33" i="36"/>
  <c r="D33" i="36"/>
  <c r="D270" i="37"/>
  <c r="E12" i="36" s="1"/>
  <c r="C272" i="37"/>
  <c r="D97" i="36" s="1"/>
  <c r="A27" i="50"/>
  <c r="A28" i="48"/>
  <c r="E29" i="36"/>
  <c r="A7" i="50"/>
  <c r="A8" i="48"/>
  <c r="E8" i="48" s="1"/>
  <c r="D9" i="36"/>
  <c r="E9" i="36"/>
  <c r="B58" i="50"/>
  <c r="A216" i="12"/>
  <c r="B59" i="48"/>
  <c r="C48" i="35"/>
  <c r="D145" i="36"/>
  <c r="C171" i="7"/>
  <c r="C122" i="37"/>
  <c r="E145" i="29"/>
  <c r="D19" i="6"/>
  <c r="C61" i="8"/>
  <c r="D90" i="8"/>
  <c r="E78" i="8"/>
  <c r="D80" i="8" s="1"/>
  <c r="G78" i="8"/>
  <c r="C93" i="8" s="1"/>
  <c r="F90" i="8"/>
  <c r="C89" i="8"/>
  <c r="E85" i="8"/>
  <c r="E57" i="8"/>
  <c r="G57" i="8" s="1"/>
  <c r="H57" i="8" s="1"/>
  <c r="F121" i="12" s="1"/>
  <c r="I44" i="8"/>
  <c r="D58" i="8"/>
  <c r="E46" i="8"/>
  <c r="F58" i="8"/>
  <c r="H52" i="8"/>
  <c r="F111" i="12" s="1"/>
  <c r="E55" i="8"/>
  <c r="G55" i="8" s="1"/>
  <c r="H55" i="8" s="1"/>
  <c r="C53" i="8"/>
  <c r="F107" i="6"/>
  <c r="F68" i="6"/>
  <c r="F109" i="6" s="1"/>
  <c r="F27" i="6"/>
  <c r="F25" i="6"/>
  <c r="F62" i="6" s="1"/>
  <c r="F67" i="6" s="1"/>
  <c r="E55" i="32"/>
  <c r="D53" i="32"/>
  <c r="D6" i="41"/>
  <c r="D6" i="43" s="1"/>
  <c r="D65" i="43" s="1"/>
  <c r="C6" i="41"/>
  <c r="C6" i="43" s="1"/>
  <c r="C65" i="43" s="1"/>
  <c r="B3" i="41"/>
  <c r="B3" i="43" s="1"/>
  <c r="B2" i="40"/>
  <c r="B2" i="41" s="1"/>
  <c r="B2" i="43" s="1"/>
  <c r="B2" i="29"/>
  <c r="B2" i="36" s="1"/>
  <c r="XFC482" i="57" l="1"/>
  <c r="L483" i="57"/>
  <c r="F115" i="6"/>
  <c r="F114" i="6"/>
  <c r="I76" i="8"/>
  <c r="G85" i="8"/>
  <c r="E89" i="8"/>
  <c r="G89" i="8" s="1"/>
  <c r="H89" i="8" s="1"/>
  <c r="C90" i="8"/>
  <c r="E53" i="8"/>
  <c r="C58" i="8"/>
  <c r="F113" i="6"/>
  <c r="F66" i="6"/>
  <c r="A2" i="42"/>
  <c r="A3" i="42"/>
  <c r="C66" i="43"/>
  <c r="L484" i="57" l="1"/>
  <c r="XFC483" i="57"/>
  <c r="D131" i="6"/>
  <c r="D76" i="37" s="1"/>
  <c r="C78" i="37" s="1"/>
  <c r="D87" i="6"/>
  <c r="C86" i="34" s="1"/>
  <c r="D88" i="34" s="1"/>
  <c r="E90" i="8"/>
  <c r="G90" i="8"/>
  <c r="G53" i="8"/>
  <c r="E58" i="8"/>
  <c r="E94" i="36" l="1"/>
  <c r="L485" i="57"/>
  <c r="XFC484" i="57"/>
  <c r="H90" i="8"/>
  <c r="D129" i="29"/>
  <c r="F129" i="29" s="1"/>
  <c r="H53" i="8"/>
  <c r="G58" i="8"/>
  <c r="XFC485" i="57" l="1"/>
  <c r="L486" i="57"/>
  <c r="H58" i="8"/>
  <c r="F117" i="12"/>
  <c r="C47" i="35"/>
  <c r="D47" i="35" s="1"/>
  <c r="F83" i="29"/>
  <c r="E83" i="29"/>
  <c r="D83" i="29"/>
  <c r="C83" i="29"/>
  <c r="H66" i="20"/>
  <c r="H43" i="20"/>
  <c r="H20" i="20"/>
  <c r="E18" i="20"/>
  <c r="C76" i="3"/>
  <c r="E76" i="3" s="1"/>
  <c r="C74" i="3"/>
  <c r="E74" i="3" s="1"/>
  <c r="C73" i="3"/>
  <c r="E65" i="3"/>
  <c r="E64" i="3"/>
  <c r="D66" i="3"/>
  <c r="C40" i="3"/>
  <c r="E40" i="3" s="1"/>
  <c r="C38" i="3"/>
  <c r="E38" i="3" s="1"/>
  <c r="C17" i="3"/>
  <c r="E17" i="3" s="1"/>
  <c r="C10" i="2" s="1"/>
  <c r="F9" i="3"/>
  <c r="D16" i="47"/>
  <c r="C16" i="47"/>
  <c r="C32" i="47" s="1"/>
  <c r="C40" i="47" s="1"/>
  <c r="C51" i="47" s="1"/>
  <c r="C67" i="47" s="1"/>
  <c r="C83" i="47" s="1"/>
  <c r="C125" i="47" s="1"/>
  <c r="C138" i="47" s="1"/>
  <c r="C219" i="47" s="1"/>
  <c r="C232" i="47" s="1"/>
  <c r="C240" i="47" s="1"/>
  <c r="C252" i="47" s="1"/>
  <c r="C261" i="47" s="1"/>
  <c r="C268" i="47" s="1"/>
  <c r="C283" i="47" s="1"/>
  <c r="C294" i="47" s="1"/>
  <c r="C303" i="47" s="1"/>
  <c r="C314" i="47" s="1"/>
  <c r="C321" i="47" s="1"/>
  <c r="C333" i="47" s="1"/>
  <c r="C341" i="47" s="1"/>
  <c r="C347" i="47" s="1"/>
  <c r="C357" i="47" s="1"/>
  <c r="C363" i="47" s="1"/>
  <c r="C379" i="47" s="1"/>
  <c r="C386" i="47" s="1"/>
  <c r="C392" i="47" s="1"/>
  <c r="C403" i="47" s="1"/>
  <c r="C409" i="47" s="1"/>
  <c r="C422" i="47" s="1"/>
  <c r="C433" i="47" s="1"/>
  <c r="C438" i="47" s="1"/>
  <c r="C450" i="47" s="1"/>
  <c r="C459" i="47" s="1"/>
  <c r="C482" i="47" s="1"/>
  <c r="C493" i="47" s="1"/>
  <c r="C507" i="47" s="1"/>
  <c r="C515" i="47" s="1"/>
  <c r="C524" i="47" s="1"/>
  <c r="C540" i="47" s="1"/>
  <c r="C554" i="47" s="1"/>
  <c r="C577" i="47" s="1"/>
  <c r="C584" i="47" s="1"/>
  <c r="C608" i="47" s="1"/>
  <c r="C615" i="47" s="1"/>
  <c r="C626" i="47" s="1"/>
  <c r="C647" i="47" s="1"/>
  <c r="C661" i="47" s="1"/>
  <c r="C674" i="47" s="1"/>
  <c r="C689" i="47" s="1"/>
  <c r="C702" i="47" s="1"/>
  <c r="C717" i="47" s="1"/>
  <c r="C728" i="47" s="1"/>
  <c r="B16" i="47"/>
  <c r="B32" i="47" s="1"/>
  <c r="B40" i="47" s="1"/>
  <c r="B51" i="47" s="1"/>
  <c r="B67" i="47" s="1"/>
  <c r="B83" i="47" s="1"/>
  <c r="B125" i="47" s="1"/>
  <c r="B138" i="47" s="1"/>
  <c r="B219" i="47" s="1"/>
  <c r="B232" i="47" s="1"/>
  <c r="B240" i="47" s="1"/>
  <c r="B252" i="47" s="1"/>
  <c r="B261" i="47" s="1"/>
  <c r="B268" i="47" s="1"/>
  <c r="B283" i="47" s="1"/>
  <c r="B294" i="47" s="1"/>
  <c r="B303" i="47" s="1"/>
  <c r="B314" i="47" s="1"/>
  <c r="B321" i="47" s="1"/>
  <c r="B333" i="47" s="1"/>
  <c r="B341" i="47" s="1"/>
  <c r="B347" i="47" s="1"/>
  <c r="B357" i="47" s="1"/>
  <c r="B363" i="47" s="1"/>
  <c r="B379" i="47" s="1"/>
  <c r="B386" i="47" s="1"/>
  <c r="B392" i="47" s="1"/>
  <c r="B403" i="47" s="1"/>
  <c r="B409" i="47" s="1"/>
  <c r="B422" i="47" s="1"/>
  <c r="B433" i="47" s="1"/>
  <c r="B438" i="47" s="1"/>
  <c r="B450" i="47" s="1"/>
  <c r="B459" i="47" s="1"/>
  <c r="B482" i="47" s="1"/>
  <c r="B493" i="47" s="1"/>
  <c r="B507" i="47" s="1"/>
  <c r="B515" i="47" s="1"/>
  <c r="B524" i="47" s="1"/>
  <c r="B540" i="47" s="1"/>
  <c r="B554" i="47" s="1"/>
  <c r="B577" i="47" s="1"/>
  <c r="B584" i="47" s="1"/>
  <c r="B608" i="47" s="1"/>
  <c r="B615" i="47" s="1"/>
  <c r="B626" i="47" s="1"/>
  <c r="B647" i="47" s="1"/>
  <c r="B661" i="47" s="1"/>
  <c r="B674" i="47" s="1"/>
  <c r="B689" i="47" s="1"/>
  <c r="B702" i="47" s="1"/>
  <c r="B717" i="47" s="1"/>
  <c r="B728" i="47" s="1"/>
  <c r="C16" i="46"/>
  <c r="C23" i="46" s="1"/>
  <c r="C28" i="46" s="1"/>
  <c r="C34" i="46" s="1"/>
  <c r="C42" i="46" s="1"/>
  <c r="C48" i="46" s="1"/>
  <c r="C54" i="46" s="1"/>
  <c r="C61" i="46" s="1"/>
  <c r="C66" i="46" s="1"/>
  <c r="C74" i="46" s="1"/>
  <c r="C83" i="46" s="1"/>
  <c r="C98" i="46" s="1"/>
  <c r="C110" i="46" s="1"/>
  <c r="C127" i="46" s="1"/>
  <c r="C137" i="46" s="1"/>
  <c r="C146" i="46" s="1"/>
  <c r="C152" i="46" s="1"/>
  <c r="C160" i="46" s="1"/>
  <c r="C167" i="46" s="1"/>
  <c r="B16" i="46"/>
  <c r="B23" i="46" s="1"/>
  <c r="B28" i="46" s="1"/>
  <c r="B34" i="46" s="1"/>
  <c r="B42" i="46" s="1"/>
  <c r="B48" i="46" s="1"/>
  <c r="B54" i="46" s="1"/>
  <c r="B61" i="46" s="1"/>
  <c r="B66" i="46" s="1"/>
  <c r="B74" i="46" s="1"/>
  <c r="B83" i="46" s="1"/>
  <c r="B98" i="46" s="1"/>
  <c r="B110" i="46" s="1"/>
  <c r="B127" i="46" s="1"/>
  <c r="B137" i="46" s="1"/>
  <c r="B146" i="46" s="1"/>
  <c r="B152" i="46" s="1"/>
  <c r="B160" i="46" s="1"/>
  <c r="B167" i="46" s="1"/>
  <c r="XFC486" i="57" l="1"/>
  <c r="L487" i="57"/>
  <c r="C11" i="29"/>
  <c r="B12" i="12"/>
  <c r="E66" i="3"/>
  <c r="C66" i="3"/>
  <c r="C78" i="3"/>
  <c r="F10" i="3"/>
  <c r="C10" i="3"/>
  <c r="F78" i="3"/>
  <c r="F19" i="3"/>
  <c r="F42" i="3"/>
  <c r="C19" i="3"/>
  <c r="C42" i="3"/>
  <c r="E42" i="3" s="1"/>
  <c r="E19" i="3"/>
  <c r="C12" i="2" s="1"/>
  <c r="B14" i="12" s="1"/>
  <c r="C115" i="46"/>
  <c r="C130" i="46" s="1"/>
  <c r="L488" i="57" l="1"/>
  <c r="XFC487" i="57"/>
  <c r="D19" i="3"/>
  <c r="L489" i="57" l="1"/>
  <c r="XFC488" i="57"/>
  <c r="D13" i="8"/>
  <c r="D127" i="34" s="1"/>
  <c r="D12" i="8"/>
  <c r="D126" i="34" s="1"/>
  <c r="D11" i="8"/>
  <c r="D124" i="34" s="1"/>
  <c r="XFC489" i="57" l="1"/>
  <c r="L490" i="57"/>
  <c r="D125" i="34"/>
  <c r="C131" i="34" s="1"/>
  <c r="D146" i="29" s="1"/>
  <c r="C130" i="34"/>
  <c r="C34" i="2"/>
  <c r="C35" i="2"/>
  <c r="C36" i="2"/>
  <c r="G12" i="8"/>
  <c r="C24" i="8" s="1"/>
  <c r="G13" i="8"/>
  <c r="C25" i="8" s="1"/>
  <c r="C37" i="2"/>
  <c r="E12" i="8"/>
  <c r="E13" i="8"/>
  <c r="E11" i="8"/>
  <c r="W199" i="12"/>
  <c r="X192" i="12"/>
  <c r="W198" i="12" s="1"/>
  <c r="W197" i="12"/>
  <c r="V196" i="12"/>
  <c r="V200" i="12" s="1"/>
  <c r="P197" i="12"/>
  <c r="Q197" i="12" s="1"/>
  <c r="P193" i="12"/>
  <c r="O193" i="12"/>
  <c r="O14" i="10"/>
  <c r="V14" i="10" s="1"/>
  <c r="O13" i="10"/>
  <c r="V13" i="10" s="1"/>
  <c r="O12" i="10"/>
  <c r="V12" i="10" s="1"/>
  <c r="O11" i="10"/>
  <c r="V11" i="10" s="1"/>
  <c r="O10" i="10"/>
  <c r="V10" i="10" s="1"/>
  <c r="AJ117" i="10"/>
  <c r="N75" i="37"/>
  <c r="N74" i="37"/>
  <c r="F77" i="36"/>
  <c r="C281" i="34"/>
  <c r="E82" i="48"/>
  <c r="D76" i="34"/>
  <c r="C93" i="10"/>
  <c r="H93" i="10" s="1"/>
  <c r="C202" i="34" s="1"/>
  <c r="D204" i="34" s="1"/>
  <c r="D76" i="10"/>
  <c r="D92" i="10" s="1"/>
  <c r="C147" i="10" s="1"/>
  <c r="C148" i="10" s="1"/>
  <c r="E76" i="10"/>
  <c r="F76" i="10"/>
  <c r="F92" i="10" s="1"/>
  <c r="E147" i="10" s="1"/>
  <c r="H76" i="10"/>
  <c r="G91" i="10" s="1"/>
  <c r="G94" i="10" s="1"/>
  <c r="D83" i="10"/>
  <c r="E69" i="10" s="1"/>
  <c r="C77" i="10"/>
  <c r="C76" i="10" s="1"/>
  <c r="C69" i="10" s="1"/>
  <c r="H146" i="10"/>
  <c r="C212" i="34"/>
  <c r="C213" i="34"/>
  <c r="D214" i="34" s="1"/>
  <c r="G90" i="10"/>
  <c r="F86" i="29"/>
  <c r="F87" i="29"/>
  <c r="F89" i="29"/>
  <c r="F90" i="29"/>
  <c r="D36" i="34"/>
  <c r="D16" i="33"/>
  <c r="C65" i="34"/>
  <c r="D92" i="29" s="1"/>
  <c r="F92" i="29" s="1"/>
  <c r="D34" i="34"/>
  <c r="E96" i="29" s="1"/>
  <c r="F99" i="29"/>
  <c r="F107" i="29"/>
  <c r="F101" i="29"/>
  <c r="C30" i="7"/>
  <c r="C31" i="7"/>
  <c r="C32" i="7"/>
  <c r="C33" i="7"/>
  <c r="C34" i="7"/>
  <c r="C35" i="7"/>
  <c r="D71" i="7"/>
  <c r="D72" i="7"/>
  <c r="C20" i="7"/>
  <c r="C9" i="7" s="1"/>
  <c r="C102" i="34"/>
  <c r="C103" i="34"/>
  <c r="C104" i="34"/>
  <c r="C79" i="7"/>
  <c r="C80" i="7"/>
  <c r="C81" i="7"/>
  <c r="C82" i="7"/>
  <c r="C83" i="7"/>
  <c r="C84" i="7"/>
  <c r="E69" i="7"/>
  <c r="C58" i="7" s="1"/>
  <c r="E58" i="7" s="1"/>
  <c r="H88" i="7"/>
  <c r="C87" i="47" s="1"/>
  <c r="B33" i="20"/>
  <c r="B34" i="20"/>
  <c r="I42" i="20"/>
  <c r="I43" i="20"/>
  <c r="K43" i="20" s="1"/>
  <c r="C234" i="34"/>
  <c r="D249" i="34" s="1"/>
  <c r="D250" i="34" s="1"/>
  <c r="F112" i="29"/>
  <c r="F114" i="29"/>
  <c r="E11" i="9"/>
  <c r="D141" i="34" s="1"/>
  <c r="F116" i="29"/>
  <c r="F117" i="29"/>
  <c r="F120" i="29"/>
  <c r="E12" i="9"/>
  <c r="D142" i="34" s="1"/>
  <c r="C148" i="34" s="1"/>
  <c r="E10" i="9"/>
  <c r="D140" i="34" s="1"/>
  <c r="C146" i="34" s="1"/>
  <c r="F126" i="29"/>
  <c r="E17" i="9"/>
  <c r="F131" i="29"/>
  <c r="P54" i="10"/>
  <c r="K54" i="10" s="1"/>
  <c r="M54" i="10" s="1"/>
  <c r="P9" i="10"/>
  <c r="R9" i="10" s="1"/>
  <c r="T10" i="10"/>
  <c r="P10" i="10" s="1"/>
  <c r="T55" i="10"/>
  <c r="P55" i="10" s="1"/>
  <c r="P56" i="10" s="1"/>
  <c r="E136" i="29"/>
  <c r="D100" i="29"/>
  <c r="E82" i="6"/>
  <c r="D39" i="7"/>
  <c r="C11" i="7" s="1"/>
  <c r="E88" i="7"/>
  <c r="C114" i="34" s="1"/>
  <c r="J88" i="7"/>
  <c r="D84" i="7"/>
  <c r="F62" i="7"/>
  <c r="C108" i="12" s="1"/>
  <c r="C143" i="34"/>
  <c r="E31" i="9"/>
  <c r="C60" i="29"/>
  <c r="C176" i="34" s="1"/>
  <c r="D12" i="34"/>
  <c r="E62" i="29" s="1"/>
  <c r="C78" i="34"/>
  <c r="B10" i="20"/>
  <c r="B19" i="20" s="1"/>
  <c r="B11" i="20"/>
  <c r="I19" i="20"/>
  <c r="K19" i="20" s="1"/>
  <c r="I20" i="20"/>
  <c r="E42" i="20"/>
  <c r="J42" i="20" s="1"/>
  <c r="L42" i="20" s="1"/>
  <c r="E43" i="20"/>
  <c r="C34" i="10"/>
  <c r="C33" i="10" s="1"/>
  <c r="C26" i="10" s="1"/>
  <c r="C25" i="10" s="1"/>
  <c r="C88" i="10"/>
  <c r="D88" i="10"/>
  <c r="E88" i="10"/>
  <c r="F88" i="10"/>
  <c r="D280" i="34"/>
  <c r="D150" i="12"/>
  <c r="F150" i="12" s="1"/>
  <c r="D151" i="12"/>
  <c r="F151" i="12" s="1"/>
  <c r="F137" i="29"/>
  <c r="F86" i="36"/>
  <c r="F87" i="36"/>
  <c r="F89" i="36"/>
  <c r="F90" i="36"/>
  <c r="D36" i="37"/>
  <c r="D59" i="37"/>
  <c r="F94" i="36"/>
  <c r="D34" i="37"/>
  <c r="F97" i="36"/>
  <c r="F107" i="36"/>
  <c r="D42" i="37"/>
  <c r="F101" i="36"/>
  <c r="C137" i="7"/>
  <c r="D137" i="7" s="1"/>
  <c r="C138" i="7"/>
  <c r="D138" i="7" s="1"/>
  <c r="C136" i="7"/>
  <c r="C90" i="37"/>
  <c r="C91" i="37"/>
  <c r="C92" i="37"/>
  <c r="C145" i="7"/>
  <c r="C146" i="7"/>
  <c r="C147" i="7"/>
  <c r="C148" i="7"/>
  <c r="C149" i="7"/>
  <c r="C150" i="7"/>
  <c r="E135" i="7"/>
  <c r="C124" i="7" s="1"/>
  <c r="H154" i="7"/>
  <c r="D103" i="37" s="1"/>
  <c r="C202" i="37"/>
  <c r="B56" i="20"/>
  <c r="B57" i="20"/>
  <c r="C57" i="20" s="1"/>
  <c r="C66" i="20" s="1"/>
  <c r="E65" i="20"/>
  <c r="I65" i="20"/>
  <c r="K65" i="20" s="1"/>
  <c r="E66" i="20"/>
  <c r="I66" i="20"/>
  <c r="K66" i="20" s="1"/>
  <c r="C223" i="37"/>
  <c r="F112" i="36"/>
  <c r="F113" i="36"/>
  <c r="F114" i="36"/>
  <c r="E32" i="9"/>
  <c r="D131" i="37" s="1"/>
  <c r="F116" i="36"/>
  <c r="F117" i="36"/>
  <c r="F119" i="36"/>
  <c r="E33" i="9"/>
  <c r="D132" i="37" s="1"/>
  <c r="F124" i="36"/>
  <c r="F125" i="36"/>
  <c r="C151" i="10"/>
  <c r="I151" i="10" s="1"/>
  <c r="C192" i="37" s="1"/>
  <c r="D134" i="10"/>
  <c r="D150" i="10" s="1"/>
  <c r="E134" i="10"/>
  <c r="E149" i="10" s="1"/>
  <c r="G134" i="10"/>
  <c r="H134" i="10"/>
  <c r="I134" i="10"/>
  <c r="F129" i="36"/>
  <c r="P114" i="10"/>
  <c r="R114" i="10" s="1"/>
  <c r="T115" i="10"/>
  <c r="P115" i="10" s="1"/>
  <c r="P116" i="10" s="1"/>
  <c r="D279" i="37"/>
  <c r="C281" i="37"/>
  <c r="E127" i="6"/>
  <c r="E154" i="7"/>
  <c r="B86" i="47" s="1"/>
  <c r="J154" i="7"/>
  <c r="D157" i="7"/>
  <c r="I157" i="7" s="1"/>
  <c r="D158" i="7"/>
  <c r="I158" i="7" s="1"/>
  <c r="D159" i="7"/>
  <c r="I159" i="7" s="1"/>
  <c r="D160" i="7"/>
  <c r="I160" i="7" s="1"/>
  <c r="F154" i="7"/>
  <c r="N158" i="7" s="1"/>
  <c r="G154" i="7"/>
  <c r="C300" i="37" s="1"/>
  <c r="D88" i="36" s="1"/>
  <c r="D150" i="7"/>
  <c r="D12" i="37"/>
  <c r="E62" i="36" s="1"/>
  <c r="G148" i="10"/>
  <c r="H148" i="10"/>
  <c r="C203" i="37"/>
  <c r="C280" i="37"/>
  <c r="D67" i="36" s="1"/>
  <c r="D282" i="37"/>
  <c r="E67" i="36" s="1"/>
  <c r="D228" i="12"/>
  <c r="F228" i="12" s="1"/>
  <c r="D229" i="12"/>
  <c r="F229" i="12" s="1"/>
  <c r="C89" i="10"/>
  <c r="C90" i="10" s="1"/>
  <c r="D89" i="10"/>
  <c r="D90" i="10" s="1"/>
  <c r="E89" i="10"/>
  <c r="E90" i="10" s="1"/>
  <c r="F89" i="10"/>
  <c r="F90" i="10" s="1"/>
  <c r="F88" i="7"/>
  <c r="N92" i="7" s="1"/>
  <c r="D91" i="7"/>
  <c r="I91" i="7" s="1"/>
  <c r="D92" i="7"/>
  <c r="I92" i="7" s="1"/>
  <c r="D93" i="7"/>
  <c r="I93" i="7" s="1"/>
  <c r="D94" i="7"/>
  <c r="I94" i="7" s="1"/>
  <c r="G88" i="7"/>
  <c r="C296" i="34" s="1"/>
  <c r="D88" i="29" s="1"/>
  <c r="C20" i="3"/>
  <c r="F76" i="3"/>
  <c r="D50" i="34"/>
  <c r="I41" i="6"/>
  <c r="E41" i="6"/>
  <c r="F113" i="29"/>
  <c r="C73" i="29"/>
  <c r="C74" i="29"/>
  <c r="C223" i="34" s="1"/>
  <c r="C224" i="34" s="1"/>
  <c r="D35" i="7"/>
  <c r="E39" i="7"/>
  <c r="D12" i="7" s="1"/>
  <c r="D14" i="8"/>
  <c r="D128" i="34" s="1"/>
  <c r="D129" i="34" s="1"/>
  <c r="C133" i="34" s="1"/>
  <c r="D119" i="29" s="1"/>
  <c r="F119" i="29" s="1"/>
  <c r="C38" i="35" s="1"/>
  <c r="E19" i="20"/>
  <c r="E20" i="20"/>
  <c r="J20" i="20" s="1"/>
  <c r="L20" i="20" s="1"/>
  <c r="D40" i="10"/>
  <c r="E26" i="10" s="1"/>
  <c r="C14" i="12"/>
  <c r="F13" i="7"/>
  <c r="D21" i="8"/>
  <c r="D23" i="8"/>
  <c r="D22" i="8"/>
  <c r="C32" i="12" s="1"/>
  <c r="D24" i="8"/>
  <c r="C33" i="12" s="1"/>
  <c r="C59" i="29"/>
  <c r="C175" i="34" s="1"/>
  <c r="D64" i="12"/>
  <c r="F64" i="12" s="1"/>
  <c r="D69" i="12"/>
  <c r="D70" i="12"/>
  <c r="C72" i="29"/>
  <c r="C15" i="34"/>
  <c r="C15" i="37"/>
  <c r="C57" i="29"/>
  <c r="C173" i="34" s="1"/>
  <c r="C43" i="34"/>
  <c r="C19" i="29"/>
  <c r="C144" i="34"/>
  <c r="C145" i="34"/>
  <c r="D68" i="37"/>
  <c r="C133" i="37"/>
  <c r="C134" i="37"/>
  <c r="C135" i="37"/>
  <c r="C13" i="37"/>
  <c r="C14" i="37"/>
  <c r="C249" i="34"/>
  <c r="C238" i="37"/>
  <c r="D203" i="47"/>
  <c r="D206" i="47" s="1"/>
  <c r="C203" i="47"/>
  <c r="C206" i="47" s="1"/>
  <c r="B203" i="47"/>
  <c r="B206" i="47" s="1"/>
  <c r="E205" i="47"/>
  <c r="E195" i="47"/>
  <c r="E194" i="47"/>
  <c r="E192" i="47"/>
  <c r="E191" i="47"/>
  <c r="E190" i="47"/>
  <c r="D193" i="47"/>
  <c r="D196" i="47" s="1"/>
  <c r="C193" i="47"/>
  <c r="C196" i="47" s="1"/>
  <c r="G23" i="40"/>
  <c r="B76" i="46" s="1"/>
  <c r="H23" i="40"/>
  <c r="C76" i="46" s="1"/>
  <c r="C158" i="10"/>
  <c r="D141" i="10"/>
  <c r="D140" i="10" s="1"/>
  <c r="C135" i="10"/>
  <c r="C141" i="10" s="1"/>
  <c r="C140" i="10" s="1"/>
  <c r="C37" i="37"/>
  <c r="E208" i="12"/>
  <c r="A66" i="20"/>
  <c r="A65" i="20"/>
  <c r="E64" i="20"/>
  <c r="F134" i="10"/>
  <c r="E128" i="10"/>
  <c r="O120" i="10"/>
  <c r="V120" i="10" s="1"/>
  <c r="O119" i="10"/>
  <c r="V119" i="10" s="1"/>
  <c r="O118" i="10"/>
  <c r="V118" i="10" s="1"/>
  <c r="O117" i="10"/>
  <c r="V117" i="10" s="1"/>
  <c r="O116" i="10"/>
  <c r="V116" i="10" s="1"/>
  <c r="O115" i="10"/>
  <c r="V115" i="10" s="1"/>
  <c r="D57" i="9"/>
  <c r="E52" i="9"/>
  <c r="E51" i="9"/>
  <c r="E50" i="9"/>
  <c r="D49" i="9"/>
  <c r="C49" i="9"/>
  <c r="D149" i="7"/>
  <c r="D148" i="7"/>
  <c r="D147" i="7"/>
  <c r="D146" i="7"/>
  <c r="B144" i="7"/>
  <c r="B135" i="7"/>
  <c r="E41" i="32"/>
  <c r="F41" i="32" s="1"/>
  <c r="E40" i="32"/>
  <c r="C83" i="36"/>
  <c r="B78" i="3"/>
  <c r="B76" i="3"/>
  <c r="B74" i="3"/>
  <c r="F150" i="36"/>
  <c r="C103" i="36"/>
  <c r="C85" i="36"/>
  <c r="E130" i="12"/>
  <c r="C100" i="10"/>
  <c r="C157" i="10" s="1"/>
  <c r="D160" i="10" s="1"/>
  <c r="C99" i="10"/>
  <c r="E41" i="20"/>
  <c r="C85" i="29"/>
  <c r="A43" i="20"/>
  <c r="A42" i="20"/>
  <c r="G76" i="10"/>
  <c r="E70" i="10"/>
  <c r="O60" i="10"/>
  <c r="V60" i="10" s="1"/>
  <c r="O59" i="10"/>
  <c r="V59" i="10" s="1"/>
  <c r="O58" i="10"/>
  <c r="V58" i="10" s="1"/>
  <c r="O57" i="10"/>
  <c r="V57" i="10" s="1"/>
  <c r="O56" i="10"/>
  <c r="V56" i="10" s="1"/>
  <c r="O55" i="10"/>
  <c r="V55" i="10" s="1"/>
  <c r="L50" i="10"/>
  <c r="D38" i="9"/>
  <c r="D30" i="9"/>
  <c r="C30" i="9"/>
  <c r="D83" i="7"/>
  <c r="D82" i="7"/>
  <c r="D81" i="7"/>
  <c r="D80" i="7"/>
  <c r="D79" i="7"/>
  <c r="B78" i="7"/>
  <c r="C69" i="7"/>
  <c r="B69" i="7"/>
  <c r="E24" i="32"/>
  <c r="F24" i="32" s="1"/>
  <c r="E23" i="32"/>
  <c r="B40" i="3"/>
  <c r="B72" i="29"/>
  <c r="B72" i="36" s="1"/>
  <c r="A72" i="29"/>
  <c r="A72" i="36" s="1"/>
  <c r="B17" i="29"/>
  <c r="A17" i="29"/>
  <c r="A17" i="36" s="1"/>
  <c r="B16" i="29"/>
  <c r="A16" i="29"/>
  <c r="A16" i="36" s="1"/>
  <c r="B42" i="3"/>
  <c r="B38" i="3"/>
  <c r="E31" i="3"/>
  <c r="D31" i="3"/>
  <c r="E50" i="12"/>
  <c r="B24" i="29"/>
  <c r="A23" i="29"/>
  <c r="A23" i="36" s="1"/>
  <c r="B20" i="29"/>
  <c r="D21" i="12"/>
  <c r="E11" i="3"/>
  <c r="B61" i="2"/>
  <c r="A61" i="2"/>
  <c r="B60" i="2"/>
  <c r="A60" i="2"/>
  <c r="B51" i="2"/>
  <c r="A51" i="2"/>
  <c r="B44" i="2"/>
  <c r="B43" i="2"/>
  <c r="B42" i="2"/>
  <c r="A44" i="2"/>
  <c r="A48" i="29" s="1"/>
  <c r="A48" i="36" s="1"/>
  <c r="A43" i="2"/>
  <c r="A47" i="29" s="1"/>
  <c r="A47" i="36" s="1"/>
  <c r="A42" i="2"/>
  <c r="A46" i="29" s="1"/>
  <c r="A46" i="36" s="1"/>
  <c r="B41" i="2"/>
  <c r="B40" i="2"/>
  <c r="A41" i="2"/>
  <c r="A45" i="29" s="1"/>
  <c r="A45" i="36" s="1"/>
  <c r="A40" i="2"/>
  <c r="A44" i="29" s="1"/>
  <c r="A44" i="36" s="1"/>
  <c r="B33" i="2"/>
  <c r="B32" i="2"/>
  <c r="B31" i="2"/>
  <c r="B30" i="2"/>
  <c r="B28" i="2"/>
  <c r="B27" i="2"/>
  <c r="A29" i="12" s="1"/>
  <c r="A33" i="2"/>
  <c r="A37" i="29" s="1"/>
  <c r="A37" i="36" s="1"/>
  <c r="A32" i="2"/>
  <c r="A36" i="29" s="1"/>
  <c r="A36" i="36" s="1"/>
  <c r="A31" i="2"/>
  <c r="A35" i="29" s="1"/>
  <c r="A35" i="36" s="1"/>
  <c r="A30" i="2"/>
  <c r="A34" i="29" s="1"/>
  <c r="A34" i="36" s="1"/>
  <c r="A28" i="2"/>
  <c r="A32" i="29" s="1"/>
  <c r="A32" i="36" s="1"/>
  <c r="A27" i="2"/>
  <c r="A27" i="29"/>
  <c r="A27" i="36" s="1"/>
  <c r="A26" i="29"/>
  <c r="A26" i="36" s="1"/>
  <c r="A12" i="2"/>
  <c r="A10" i="2"/>
  <c r="F150" i="29"/>
  <c r="E27" i="10"/>
  <c r="D17" i="9"/>
  <c r="H33" i="10"/>
  <c r="G33" i="10"/>
  <c r="F33" i="10"/>
  <c r="E33" i="10"/>
  <c r="D33" i="10"/>
  <c r="C103" i="29"/>
  <c r="D30" i="7"/>
  <c r="D31" i="7"/>
  <c r="D32" i="7"/>
  <c r="D33" i="7"/>
  <c r="D34" i="7"/>
  <c r="A19" i="20"/>
  <c r="A20" i="20"/>
  <c r="C9" i="9"/>
  <c r="D9" i="9"/>
  <c r="C15" i="8"/>
  <c r="B21" i="8"/>
  <c r="B22" i="8"/>
  <c r="B23" i="8"/>
  <c r="B24" i="8"/>
  <c r="B25" i="8"/>
  <c r="B26" i="8"/>
  <c r="B20" i="7"/>
  <c r="D20" i="7"/>
  <c r="E20" i="7"/>
  <c r="B29" i="7"/>
  <c r="D11" i="3"/>
  <c r="C55" i="12"/>
  <c r="D60" i="12"/>
  <c r="E204" i="47"/>
  <c r="E200" i="47"/>
  <c r="E203" i="47" s="1"/>
  <c r="E189" i="47"/>
  <c r="B193" i="47"/>
  <c r="B196" i="47" s="1"/>
  <c r="C72" i="47"/>
  <c r="C60" i="47"/>
  <c r="B72" i="47"/>
  <c r="C45" i="47"/>
  <c r="B60" i="47"/>
  <c r="B45" i="47"/>
  <c r="C17" i="46"/>
  <c r="B17" i="46"/>
  <c r="C10" i="12"/>
  <c r="D10" i="12" s="1"/>
  <c r="D25" i="8"/>
  <c r="C34" i="12" s="1"/>
  <c r="F17" i="3"/>
  <c r="C20" i="29"/>
  <c r="D115" i="34"/>
  <c r="C117" i="34" s="1"/>
  <c r="D105" i="29" s="1"/>
  <c r="F33" i="29"/>
  <c r="C37" i="34"/>
  <c r="C31" i="29"/>
  <c r="C7" i="29"/>
  <c r="C8" i="12"/>
  <c r="C12" i="12"/>
  <c r="D12" i="12" s="1"/>
  <c r="C11" i="12"/>
  <c r="D11" i="12" s="1"/>
  <c r="C11" i="20"/>
  <c r="C20" i="20" s="1"/>
  <c r="B20" i="20"/>
  <c r="F9" i="29"/>
  <c r="C17" i="29"/>
  <c r="D17" i="12"/>
  <c r="D56" i="12"/>
  <c r="C58" i="29"/>
  <c r="C174" i="34" s="1"/>
  <c r="J171" i="12"/>
  <c r="B120" i="46"/>
  <c r="C120" i="46"/>
  <c r="C56" i="29"/>
  <c r="C172" i="34" s="1"/>
  <c r="C54" i="12"/>
  <c r="D54" i="12" s="1"/>
  <c r="C9" i="12"/>
  <c r="D9" i="12" s="1"/>
  <c r="F91" i="10"/>
  <c r="E146" i="10" s="1"/>
  <c r="C34" i="20"/>
  <c r="C43" i="20" s="1"/>
  <c r="D59" i="12"/>
  <c r="C61" i="29"/>
  <c r="C177" i="34" s="1"/>
  <c r="J19" i="20"/>
  <c r="L19" i="20" s="1"/>
  <c r="C21" i="29"/>
  <c r="C18" i="29"/>
  <c r="B42" i="20"/>
  <c r="C33" i="20"/>
  <c r="C42" i="20" s="1"/>
  <c r="C15" i="29"/>
  <c r="C24" i="29"/>
  <c r="C16" i="29"/>
  <c r="C23" i="29"/>
  <c r="B27" i="29"/>
  <c r="C66" i="2"/>
  <c r="D64" i="34"/>
  <c r="B18" i="29"/>
  <c r="C14" i="56" l="1"/>
  <c r="B9" i="56"/>
  <c r="C9" i="56" s="1"/>
  <c r="D47" i="36"/>
  <c r="C83" i="10"/>
  <c r="C82" i="10" s="1"/>
  <c r="B66" i="20"/>
  <c r="B58" i="20"/>
  <c r="C15" i="56"/>
  <c r="C17" i="56" s="1"/>
  <c r="AL24" i="51" s="1"/>
  <c r="C60" i="7"/>
  <c r="XFC490" i="57"/>
  <c r="L491" i="57"/>
  <c r="A24" i="50"/>
  <c r="A25" i="48"/>
  <c r="A42" i="12"/>
  <c r="B44" i="29"/>
  <c r="B20" i="36"/>
  <c r="A98" i="12"/>
  <c r="A71" i="50"/>
  <c r="A71" i="48"/>
  <c r="E72" i="36"/>
  <c r="D72" i="36"/>
  <c r="A25" i="50"/>
  <c r="A26" i="48"/>
  <c r="B46" i="29"/>
  <c r="A44" i="12"/>
  <c r="A21" i="50"/>
  <c r="A22" i="48"/>
  <c r="E22" i="48" s="1"/>
  <c r="E23" i="36"/>
  <c r="D23" i="36"/>
  <c r="B16" i="36"/>
  <c r="A94" i="12"/>
  <c r="B71" i="50"/>
  <c r="B71" i="48"/>
  <c r="A43" i="50"/>
  <c r="A44" i="48"/>
  <c r="D45" i="36"/>
  <c r="A45" i="50"/>
  <c r="A46" i="48"/>
  <c r="A46" i="12"/>
  <c r="B48" i="29"/>
  <c r="B17" i="36"/>
  <c r="A95" i="12"/>
  <c r="F40" i="32"/>
  <c r="E54" i="32"/>
  <c r="D48" i="36"/>
  <c r="A46" i="50"/>
  <c r="A47" i="48"/>
  <c r="A14" i="50"/>
  <c r="A15" i="48"/>
  <c r="E15" i="48" s="1"/>
  <c r="E15" i="40" s="1"/>
  <c r="E16" i="36"/>
  <c r="D16" i="36"/>
  <c r="B27" i="36"/>
  <c r="A105" i="12"/>
  <c r="D17" i="36"/>
  <c r="B18" i="36"/>
  <c r="A96" i="12"/>
  <c r="A43" i="12"/>
  <c r="B45" i="29"/>
  <c r="A11" i="29"/>
  <c r="A11" i="36" s="1"/>
  <c r="E11" i="48"/>
  <c r="A42" i="50"/>
  <c r="A43" i="48"/>
  <c r="E43" i="48" s="1"/>
  <c r="E44" i="36"/>
  <c r="D44" i="36"/>
  <c r="A44" i="50"/>
  <c r="A45" i="48"/>
  <c r="B47" i="29"/>
  <c r="A45" i="12"/>
  <c r="B24" i="36"/>
  <c r="A102" i="12"/>
  <c r="A15" i="50"/>
  <c r="A16" i="48"/>
  <c r="E16" i="48" s="1"/>
  <c r="E16" i="40" s="1"/>
  <c r="D46" i="36"/>
  <c r="E17" i="36"/>
  <c r="E48" i="36"/>
  <c r="E47" i="36"/>
  <c r="A31" i="29"/>
  <c r="E148" i="48"/>
  <c r="E144" i="48"/>
  <c r="E135" i="48"/>
  <c r="E131" i="48"/>
  <c r="E127" i="48"/>
  <c r="E123" i="48"/>
  <c r="E119" i="48"/>
  <c r="E115" i="48"/>
  <c r="E111" i="48"/>
  <c r="E107" i="48"/>
  <c r="E103" i="48"/>
  <c r="E97" i="48"/>
  <c r="E93" i="48"/>
  <c r="E89" i="48"/>
  <c r="E85" i="48"/>
  <c r="E74" i="48"/>
  <c r="E66" i="48"/>
  <c r="E30" i="40" s="1"/>
  <c r="E58" i="48"/>
  <c r="E47" i="48"/>
  <c r="E39" i="48"/>
  <c r="E147" i="48"/>
  <c r="E143" i="48"/>
  <c r="E134" i="48"/>
  <c r="E130" i="48"/>
  <c r="E126" i="48"/>
  <c r="E122" i="48"/>
  <c r="E118" i="48"/>
  <c r="E114" i="48"/>
  <c r="E110" i="48"/>
  <c r="E106" i="48"/>
  <c r="E100" i="48"/>
  <c r="E96" i="48"/>
  <c r="E92" i="48"/>
  <c r="E88" i="48"/>
  <c r="E76" i="48"/>
  <c r="E73" i="48"/>
  <c r="E61" i="48"/>
  <c r="E57" i="48"/>
  <c r="E50" i="48"/>
  <c r="E46" i="48"/>
  <c r="E38" i="48"/>
  <c r="E21" i="48"/>
  <c r="E13" i="48"/>
  <c r="E146" i="48"/>
  <c r="E142" i="48"/>
  <c r="E133" i="48"/>
  <c r="E129" i="48"/>
  <c r="E125" i="48"/>
  <c r="E121" i="48"/>
  <c r="E117" i="48"/>
  <c r="E113" i="48"/>
  <c r="E109" i="48"/>
  <c r="E105" i="48"/>
  <c r="E99" i="48"/>
  <c r="E95" i="48"/>
  <c r="E91" i="48"/>
  <c r="E87" i="48"/>
  <c r="E72" i="48"/>
  <c r="E60" i="48"/>
  <c r="E29" i="40" s="1"/>
  <c r="E56" i="48"/>
  <c r="E49" i="48"/>
  <c r="E45" i="48"/>
  <c r="E37" i="48"/>
  <c r="E12" i="48"/>
  <c r="E145" i="48"/>
  <c r="E136" i="48"/>
  <c r="E132" i="48"/>
  <c r="E128" i="48"/>
  <c r="E124" i="48"/>
  <c r="E120" i="48"/>
  <c r="E116" i="48"/>
  <c r="E112" i="48"/>
  <c r="E108" i="48"/>
  <c r="E104" i="48"/>
  <c r="E98" i="48"/>
  <c r="E94" i="48"/>
  <c r="E90" i="48"/>
  <c r="E86" i="48"/>
  <c r="E75" i="48"/>
  <c r="E71" i="48"/>
  <c r="E41" i="40" s="1"/>
  <c r="C9" i="42" s="1"/>
  <c r="C12" i="42" s="1"/>
  <c r="E59" i="48"/>
  <c r="E55" i="48"/>
  <c r="E48" i="48"/>
  <c r="E44" i="48"/>
  <c r="E40" i="48"/>
  <c r="E32" i="48"/>
  <c r="A34" i="50"/>
  <c r="E36" i="36"/>
  <c r="D36" i="36"/>
  <c r="A35" i="48"/>
  <c r="E35" i="48" s="1"/>
  <c r="B34" i="29"/>
  <c r="A32" i="12"/>
  <c r="A30" i="50"/>
  <c r="E32" i="36"/>
  <c r="D32" i="36"/>
  <c r="A31" i="48"/>
  <c r="E31" i="48" s="1"/>
  <c r="A35" i="50"/>
  <c r="A36" i="48"/>
  <c r="E36" i="48" s="1"/>
  <c r="E37" i="36"/>
  <c r="D37" i="36"/>
  <c r="B35" i="29"/>
  <c r="A33" i="12"/>
  <c r="C38" i="29"/>
  <c r="B36" i="12"/>
  <c r="C132" i="34"/>
  <c r="C40" i="29"/>
  <c r="B38" i="12"/>
  <c r="D145" i="29"/>
  <c r="C105" i="7"/>
  <c r="A32" i="50"/>
  <c r="E34" i="36"/>
  <c r="D34" i="36"/>
  <c r="A33" i="48"/>
  <c r="E33" i="48" s="1"/>
  <c r="B36" i="29"/>
  <c r="A34" i="12"/>
  <c r="A33" i="50"/>
  <c r="A34" i="48"/>
  <c r="E34" i="48" s="1"/>
  <c r="E35" i="36"/>
  <c r="D35" i="36"/>
  <c r="B32" i="29"/>
  <c r="A30" i="12"/>
  <c r="A35" i="12"/>
  <c r="B37" i="29"/>
  <c r="B39" i="12"/>
  <c r="C41" i="29"/>
  <c r="C39" i="29"/>
  <c r="B37" i="12"/>
  <c r="E146" i="29"/>
  <c r="F146" i="29" s="1"/>
  <c r="C35" i="35"/>
  <c r="C49" i="35"/>
  <c r="D49" i="35" s="1"/>
  <c r="C73" i="35"/>
  <c r="C39" i="35"/>
  <c r="D39" i="35" s="1"/>
  <c r="C33" i="35"/>
  <c r="D33" i="35" s="1"/>
  <c r="C26" i="35"/>
  <c r="D26" i="35" s="1"/>
  <c r="C96" i="35"/>
  <c r="C32" i="35"/>
  <c r="C98" i="35"/>
  <c r="C72" i="35"/>
  <c r="C44" i="35"/>
  <c r="D44" i="35" s="1"/>
  <c r="C36" i="35"/>
  <c r="C31" i="35"/>
  <c r="D31" i="35" s="1"/>
  <c r="D135" i="7"/>
  <c r="C170" i="7" s="1"/>
  <c r="C88" i="37" s="1"/>
  <c r="C89" i="37" s="1"/>
  <c r="D62" i="36" s="1"/>
  <c r="D204" i="37"/>
  <c r="D106" i="36"/>
  <c r="F106" i="36" s="1"/>
  <c r="D111" i="36"/>
  <c r="F111" i="36" s="1"/>
  <c r="C58" i="37"/>
  <c r="E92" i="36"/>
  <c r="F92" i="36" s="1"/>
  <c r="D22" i="36"/>
  <c r="D246" i="37" s="1"/>
  <c r="E22" i="36" s="1"/>
  <c r="E96" i="36"/>
  <c r="F96" i="36" s="1"/>
  <c r="D194" i="37"/>
  <c r="D149" i="36"/>
  <c r="F149" i="36" s="1"/>
  <c r="D148" i="36"/>
  <c r="F148" i="36" s="1"/>
  <c r="F146" i="36"/>
  <c r="D147" i="36"/>
  <c r="F147" i="36" s="1"/>
  <c r="C103" i="35"/>
  <c r="C97" i="35"/>
  <c r="C113" i="35"/>
  <c r="C109" i="35"/>
  <c r="C100" i="35"/>
  <c r="C101" i="35"/>
  <c r="C91" i="35"/>
  <c r="C108" i="35"/>
  <c r="C87" i="35"/>
  <c r="C80" i="35"/>
  <c r="C76" i="35"/>
  <c r="C83" i="35"/>
  <c r="C75" i="35"/>
  <c r="E150" i="10"/>
  <c r="K55" i="10"/>
  <c r="D238" i="37"/>
  <c r="D239" i="37" s="1"/>
  <c r="D37" i="37"/>
  <c r="C239" i="37"/>
  <c r="C16" i="37"/>
  <c r="D17" i="37"/>
  <c r="N76" i="37"/>
  <c r="D201" i="37"/>
  <c r="B87" i="12"/>
  <c r="C87" i="12" s="1"/>
  <c r="D87" i="12" s="1"/>
  <c r="C9" i="36"/>
  <c r="F9" i="36" s="1"/>
  <c r="B111" i="12"/>
  <c r="C33" i="36"/>
  <c r="F33" i="36" s="1"/>
  <c r="F70" i="12"/>
  <c r="D56" i="35"/>
  <c r="F69" i="12"/>
  <c r="D55" i="35"/>
  <c r="D39" i="10"/>
  <c r="K9" i="10"/>
  <c r="M9" i="10" s="1"/>
  <c r="A66" i="29"/>
  <c r="A66" i="36" s="1"/>
  <c r="A62" i="12"/>
  <c r="B65" i="29"/>
  <c r="A53" i="12"/>
  <c r="B66" i="29"/>
  <c r="A63" i="12"/>
  <c r="D82" i="10"/>
  <c r="A65" i="29"/>
  <c r="A65" i="36" s="1"/>
  <c r="N93" i="7"/>
  <c r="C89" i="47"/>
  <c r="N159" i="7"/>
  <c r="C13" i="35"/>
  <c r="D13" i="35" s="1"/>
  <c r="C10" i="35"/>
  <c r="D10" i="35" s="1"/>
  <c r="C11" i="35"/>
  <c r="D11" i="35" s="1"/>
  <c r="C22" i="35"/>
  <c r="C8" i="35"/>
  <c r="D8" i="35" s="1"/>
  <c r="C20" i="35"/>
  <c r="C7" i="35"/>
  <c r="D17" i="34"/>
  <c r="C250" i="34"/>
  <c r="D37" i="34"/>
  <c r="D149" i="29"/>
  <c r="D148" i="29"/>
  <c r="D147" i="29"/>
  <c r="C215" i="34"/>
  <c r="G92" i="10"/>
  <c r="F147" i="10" s="1"/>
  <c r="H99" i="10"/>
  <c r="C40" i="10"/>
  <c r="C39" i="10" s="1"/>
  <c r="R54" i="10"/>
  <c r="D149" i="10"/>
  <c r="C161" i="10"/>
  <c r="C17" i="9"/>
  <c r="D46" i="12"/>
  <c r="D47" i="12"/>
  <c r="F47" i="12" s="1"/>
  <c r="G15" i="8"/>
  <c r="C38" i="2"/>
  <c r="E41" i="48" s="1"/>
  <c r="C39" i="2"/>
  <c r="E22" i="8"/>
  <c r="G22" i="8" s="1"/>
  <c r="H22" i="8" s="1"/>
  <c r="B31" i="29"/>
  <c r="E14" i="8"/>
  <c r="E23" i="8"/>
  <c r="F23" i="8" s="1"/>
  <c r="H23" i="8" s="1"/>
  <c r="F60" i="7"/>
  <c r="E60" i="7"/>
  <c r="E12" i="7"/>
  <c r="C25" i="2" s="1"/>
  <c r="E28" i="48" s="1"/>
  <c r="N86" i="7"/>
  <c r="C176" i="7"/>
  <c r="C86" i="37" s="1"/>
  <c r="D26" i="36" s="1"/>
  <c r="E124" i="7"/>
  <c r="D144" i="7"/>
  <c r="F11" i="7"/>
  <c r="E11" i="7"/>
  <c r="C24" i="2" s="1"/>
  <c r="E9" i="7"/>
  <c r="C22" i="2" s="1"/>
  <c r="E25" i="48" s="1"/>
  <c r="D299" i="37"/>
  <c r="C138" i="29"/>
  <c r="C16" i="34"/>
  <c r="A24" i="29"/>
  <c r="A24" i="36" s="1"/>
  <c r="D211" i="34"/>
  <c r="D215" i="34" s="1"/>
  <c r="D106" i="29"/>
  <c r="F106" i="29" s="1"/>
  <c r="D123" i="29"/>
  <c r="F123" i="29" s="1"/>
  <c r="D125" i="29"/>
  <c r="D121" i="29"/>
  <c r="F121" i="29" s="1"/>
  <c r="D111" i="29"/>
  <c r="F111" i="29" s="1"/>
  <c r="D22" i="29"/>
  <c r="D257" i="34" s="1"/>
  <c r="E22" i="29" s="1"/>
  <c r="F22" i="29" s="1"/>
  <c r="E115" i="29"/>
  <c r="B17" i="33"/>
  <c r="B18" i="33" s="1"/>
  <c r="B19" i="33" s="1"/>
  <c r="B20" i="33" s="1"/>
  <c r="B21" i="33" s="1"/>
  <c r="B22" i="33" s="1"/>
  <c r="B23" i="33" s="1"/>
  <c r="C17" i="33"/>
  <c r="D39" i="29"/>
  <c r="D45" i="29"/>
  <c r="E56" i="29"/>
  <c r="D56" i="29"/>
  <c r="E31" i="29"/>
  <c r="D31" i="29"/>
  <c r="D40" i="29"/>
  <c r="E47" i="29"/>
  <c r="D47" i="29"/>
  <c r="D16" i="29"/>
  <c r="E16" i="29"/>
  <c r="D41" i="29"/>
  <c r="D67" i="29"/>
  <c r="E67" i="29"/>
  <c r="D73" i="29"/>
  <c r="D75" i="29"/>
  <c r="E59" i="29"/>
  <c r="D59" i="29"/>
  <c r="D38" i="29"/>
  <c r="D42" i="29"/>
  <c r="D44" i="29"/>
  <c r="E8" i="29"/>
  <c r="D8" i="29"/>
  <c r="E17" i="29"/>
  <c r="E72" i="29"/>
  <c r="D72" i="29"/>
  <c r="D74" i="29"/>
  <c r="E76" i="29"/>
  <c r="D76" i="29"/>
  <c r="C269" i="34"/>
  <c r="E11" i="29"/>
  <c r="D11" i="29"/>
  <c r="D222" i="34"/>
  <c r="D221" i="34" s="1"/>
  <c r="E75" i="29" s="1"/>
  <c r="D19" i="12"/>
  <c r="E126" i="10"/>
  <c r="H90" i="10"/>
  <c r="H98" i="10" s="1"/>
  <c r="E68" i="10"/>
  <c r="J66" i="20"/>
  <c r="L66" i="20" s="1"/>
  <c r="B21" i="20"/>
  <c r="C10" i="20"/>
  <c r="C19" i="20" s="1"/>
  <c r="C21" i="20" s="1"/>
  <c r="C101" i="7"/>
  <c r="D96" i="34" s="1"/>
  <c r="E26" i="29" s="1"/>
  <c r="D154" i="7"/>
  <c r="B87" i="47"/>
  <c r="B89" i="47"/>
  <c r="I154" i="7"/>
  <c r="N157" i="7" s="1"/>
  <c r="D301" i="37" s="1"/>
  <c r="C78" i="7"/>
  <c r="C59" i="7" s="1"/>
  <c r="B88" i="47"/>
  <c r="D116" i="34"/>
  <c r="D118" i="34" s="1"/>
  <c r="C118" i="34"/>
  <c r="C126" i="7"/>
  <c r="C86" i="47"/>
  <c r="C102" i="37"/>
  <c r="D28" i="36" s="1"/>
  <c r="B28" i="29"/>
  <c r="I88" i="7"/>
  <c r="C85" i="47" s="1"/>
  <c r="E35" i="7"/>
  <c r="E29" i="7" s="1"/>
  <c r="D13" i="7" s="1"/>
  <c r="D88" i="7"/>
  <c r="D29" i="7"/>
  <c r="I33" i="6"/>
  <c r="D25" i="34" s="1"/>
  <c r="D69" i="10"/>
  <c r="D68" i="10" s="1"/>
  <c r="F95" i="10"/>
  <c r="A7" i="29"/>
  <c r="K114" i="10"/>
  <c r="M114" i="10" s="1"/>
  <c r="F105" i="29"/>
  <c r="D74" i="34"/>
  <c r="C135" i="7"/>
  <c r="C167" i="7" s="1"/>
  <c r="D84" i="37" s="1"/>
  <c r="F94" i="10"/>
  <c r="A21" i="29"/>
  <c r="A21" i="36" s="1"/>
  <c r="E206" i="47"/>
  <c r="B63" i="29"/>
  <c r="D37" i="6"/>
  <c r="C134" i="10"/>
  <c r="C127" i="10" s="1"/>
  <c r="A18" i="29"/>
  <c r="A18" i="36" s="1"/>
  <c r="D18" i="36" s="1"/>
  <c r="D27" i="47"/>
  <c r="D34" i="12"/>
  <c r="D18" i="12"/>
  <c r="D22" i="12"/>
  <c r="E193" i="47"/>
  <c r="E196" i="47" s="1"/>
  <c r="A63" i="29"/>
  <c r="A63" i="36" s="1"/>
  <c r="D78" i="7"/>
  <c r="D58" i="12"/>
  <c r="E84" i="7"/>
  <c r="E78" i="7" s="1"/>
  <c r="D62" i="7" s="1"/>
  <c r="E62" i="7" s="1"/>
  <c r="E150" i="7"/>
  <c r="E144" i="7" s="1"/>
  <c r="E128" i="7" s="1"/>
  <c r="B12" i="20"/>
  <c r="B35" i="20"/>
  <c r="D69" i="7"/>
  <c r="C104" i="7" s="1"/>
  <c r="C100" i="34" s="1"/>
  <c r="C283" i="37"/>
  <c r="D93" i="36" s="1"/>
  <c r="D85" i="36" s="1"/>
  <c r="C205" i="37"/>
  <c r="D283" i="37"/>
  <c r="C105" i="37"/>
  <c r="C72" i="34"/>
  <c r="D149" i="34"/>
  <c r="D150" i="34" s="1"/>
  <c r="D8" i="12"/>
  <c r="A20" i="29"/>
  <c r="A20" i="36" s="1"/>
  <c r="D7" i="47"/>
  <c r="D57" i="12"/>
  <c r="C71" i="29"/>
  <c r="A30" i="29"/>
  <c r="A30" i="36" s="1"/>
  <c r="B21" i="29"/>
  <c r="B30" i="29"/>
  <c r="B23" i="29"/>
  <c r="F58" i="7"/>
  <c r="G150" i="10"/>
  <c r="G153" i="10" s="1"/>
  <c r="G149" i="10"/>
  <c r="G152" i="10" s="1"/>
  <c r="D187" i="34"/>
  <c r="C110" i="7"/>
  <c r="C88" i="47"/>
  <c r="C44" i="20"/>
  <c r="H89" i="10"/>
  <c r="I89" i="10" s="1"/>
  <c r="F146" i="10"/>
  <c r="B26" i="29"/>
  <c r="C79" i="3"/>
  <c r="D67" i="3"/>
  <c r="F150" i="10"/>
  <c r="F149" i="10"/>
  <c r="E30" i="9"/>
  <c r="D118" i="29"/>
  <c r="F118" i="29" s="1"/>
  <c r="K10" i="10"/>
  <c r="P11" i="10"/>
  <c r="P12" i="10" s="1"/>
  <c r="C153" i="10"/>
  <c r="D32" i="12"/>
  <c r="D55" i="12"/>
  <c r="D91" i="10"/>
  <c r="D31" i="12"/>
  <c r="P57" i="10"/>
  <c r="P58" i="10" s="1"/>
  <c r="K56" i="10"/>
  <c r="P117" i="10"/>
  <c r="K116" i="10"/>
  <c r="B7" i="29"/>
  <c r="A8" i="12"/>
  <c r="A55" i="29"/>
  <c r="A55" i="36" s="1"/>
  <c r="K115" i="10"/>
  <c r="J65" i="20"/>
  <c r="L65" i="20" s="1"/>
  <c r="M65" i="20" s="1"/>
  <c r="C144" i="7"/>
  <c r="C125" i="7" s="1"/>
  <c r="E125" i="7" s="1"/>
  <c r="C57" i="9"/>
  <c r="E23" i="29"/>
  <c r="D295" i="34"/>
  <c r="C35" i="20"/>
  <c r="B19" i="29"/>
  <c r="D95" i="10"/>
  <c r="B43" i="20"/>
  <c r="B44" i="20" s="1"/>
  <c r="C68" i="10"/>
  <c r="A19" i="29"/>
  <c r="A19" i="36" s="1"/>
  <c r="C279" i="34"/>
  <c r="D17" i="29" s="1"/>
  <c r="F23" i="32"/>
  <c r="D139" i="37"/>
  <c r="D61" i="29"/>
  <c r="E152" i="10"/>
  <c r="D43" i="12"/>
  <c r="B55" i="29"/>
  <c r="K20" i="20"/>
  <c r="M20" i="20" s="1"/>
  <c r="D20" i="20" s="1"/>
  <c r="D11" i="20" s="1"/>
  <c r="E38" i="9"/>
  <c r="C137" i="37"/>
  <c r="C138" i="37"/>
  <c r="E9" i="9"/>
  <c r="C38" i="9"/>
  <c r="C147" i="34"/>
  <c r="D115" i="29" s="1"/>
  <c r="D42" i="12"/>
  <c r="D15" i="8"/>
  <c r="D30" i="8" s="1"/>
  <c r="D332" i="37"/>
  <c r="E98" i="36" s="1"/>
  <c r="F98" i="36" s="1"/>
  <c r="F40" i="3"/>
  <c r="C91" i="12" s="1"/>
  <c r="C270" i="34"/>
  <c r="D14" i="29" s="1"/>
  <c r="F14" i="29" s="1"/>
  <c r="D13" i="48" s="1"/>
  <c r="F20" i="3"/>
  <c r="A15" i="29"/>
  <c r="A15" i="36" s="1"/>
  <c r="D44" i="34"/>
  <c r="F38" i="3"/>
  <c r="E43" i="3"/>
  <c r="D43" i="37"/>
  <c r="E100" i="36" s="1"/>
  <c r="F100" i="36" s="1"/>
  <c r="B173" i="46"/>
  <c r="D51" i="34"/>
  <c r="C52" i="34" s="1"/>
  <c r="C173" i="46"/>
  <c r="B15" i="29"/>
  <c r="D13" i="12"/>
  <c r="K57" i="10"/>
  <c r="E48" i="29"/>
  <c r="G95" i="10"/>
  <c r="K11" i="10"/>
  <c r="B65" i="20"/>
  <c r="B67" i="20" s="1"/>
  <c r="C56" i="20"/>
  <c r="D26" i="8"/>
  <c r="C35" i="12" s="1"/>
  <c r="D35" i="12" s="1"/>
  <c r="F67" i="3"/>
  <c r="F11" i="3"/>
  <c r="M19" i="20"/>
  <c r="M66" i="20"/>
  <c r="D66" i="20" s="1"/>
  <c r="D57" i="20" s="1"/>
  <c r="H150" i="10"/>
  <c r="H153" i="10" s="1"/>
  <c r="H149" i="10"/>
  <c r="H152" i="10" s="1"/>
  <c r="C94" i="10"/>
  <c r="H88" i="10"/>
  <c r="A28" i="29"/>
  <c r="A28" i="36" s="1"/>
  <c r="E28" i="36" s="1"/>
  <c r="D20" i="3"/>
  <c r="E20" i="3"/>
  <c r="J43" i="20"/>
  <c r="L43" i="20" s="1"/>
  <c r="M43" i="20" s="1"/>
  <c r="D43" i="20" s="1"/>
  <c r="D34" i="20" s="1"/>
  <c r="D130" i="37"/>
  <c r="E46" i="36" s="1"/>
  <c r="D44" i="12"/>
  <c r="F44" i="12" s="1"/>
  <c r="I38" i="9"/>
  <c r="D156" i="34" s="1"/>
  <c r="E42" i="29" s="1"/>
  <c r="C138" i="36"/>
  <c r="E49" i="9"/>
  <c r="C17" i="34"/>
  <c r="K42" i="20"/>
  <c r="M42" i="20" s="1"/>
  <c r="C29" i="7"/>
  <c r="C10" i="7" s="1"/>
  <c r="E10" i="7" s="1"/>
  <c r="C23" i="2" s="1"/>
  <c r="C103" i="10"/>
  <c r="E67" i="3"/>
  <c r="Q193" i="12"/>
  <c r="Q195" i="12" s="1"/>
  <c r="P198" i="12" s="1"/>
  <c r="Q198" i="12" s="1"/>
  <c r="Q199" i="12" s="1"/>
  <c r="W200" i="12"/>
  <c r="D14" i="12"/>
  <c r="D45" i="12"/>
  <c r="F45" i="12" s="1"/>
  <c r="D48" i="12"/>
  <c r="F48" i="12" s="1"/>
  <c r="D20" i="12"/>
  <c r="D33" i="12"/>
  <c r="D48" i="29"/>
  <c r="E25" i="8"/>
  <c r="G25" i="8" s="1"/>
  <c r="H25" i="8" s="1"/>
  <c r="C70" i="37"/>
  <c r="F148" i="10"/>
  <c r="F153" i="10" s="1"/>
  <c r="E25" i="10"/>
  <c r="D26" i="10"/>
  <c r="D17" i="33"/>
  <c r="C18" i="33" s="1"/>
  <c r="E148" i="10"/>
  <c r="E153" i="10" s="1"/>
  <c r="D126" i="10"/>
  <c r="C126" i="10"/>
  <c r="C95" i="10"/>
  <c r="F96" i="29"/>
  <c r="E92" i="10"/>
  <c r="E91" i="10"/>
  <c r="C169" i="7" l="1"/>
  <c r="L492" i="57"/>
  <c r="XFC491" i="57"/>
  <c r="B23" i="36"/>
  <c r="A101" i="12"/>
  <c r="B63" i="36"/>
  <c r="A141" i="12"/>
  <c r="A7" i="36"/>
  <c r="B28" i="36"/>
  <c r="A106" i="12"/>
  <c r="A22" i="50"/>
  <c r="A23" i="48"/>
  <c r="E23" i="48" s="1"/>
  <c r="E24" i="36"/>
  <c r="D24" i="36"/>
  <c r="A64" i="50"/>
  <c r="A65" i="48"/>
  <c r="E65" i="48" s="1"/>
  <c r="E31" i="40" s="1"/>
  <c r="D116" i="48"/>
  <c r="D130" i="48"/>
  <c r="D145" i="48"/>
  <c r="D88" i="48"/>
  <c r="D89" i="48"/>
  <c r="D85" i="48"/>
  <c r="B22" i="50"/>
  <c r="B23" i="48"/>
  <c r="A180" i="12"/>
  <c r="B45" i="36"/>
  <c r="A123" i="12"/>
  <c r="B44" i="36"/>
  <c r="A122" i="12"/>
  <c r="B14" i="50"/>
  <c r="B15" i="48"/>
  <c r="A172" i="12"/>
  <c r="A17" i="50"/>
  <c r="A18" i="48"/>
  <c r="E18" i="48" s="1"/>
  <c r="D19" i="36"/>
  <c r="E19" i="36"/>
  <c r="A16" i="50"/>
  <c r="A17" i="48"/>
  <c r="E17" i="48" s="1"/>
  <c r="D21" i="48"/>
  <c r="C7" i="50"/>
  <c r="D106" i="48"/>
  <c r="D119" i="48"/>
  <c r="D86" i="48"/>
  <c r="D91" i="48"/>
  <c r="D136" i="48"/>
  <c r="D98" i="48"/>
  <c r="A26" i="50"/>
  <c r="A27" i="48"/>
  <c r="E27" i="48" s="1"/>
  <c r="E12" i="40" s="1"/>
  <c r="C84" i="47" s="1"/>
  <c r="C93" i="47" s="1"/>
  <c r="C12" i="20"/>
  <c r="B26" i="36"/>
  <c r="A104" i="12"/>
  <c r="B21" i="36"/>
  <c r="A99" i="12"/>
  <c r="A19" i="50"/>
  <c r="A20" i="48"/>
  <c r="E20" i="48" s="1"/>
  <c r="E21" i="36"/>
  <c r="D21" i="36"/>
  <c r="E10" i="36"/>
  <c r="D66" i="36"/>
  <c r="D111" i="48"/>
  <c r="D125" i="48"/>
  <c r="D112" i="48"/>
  <c r="D115" i="48"/>
  <c r="D100" i="48"/>
  <c r="B47" i="36"/>
  <c r="A125" i="12"/>
  <c r="B25" i="50"/>
  <c r="A183" i="12"/>
  <c r="B26" i="48"/>
  <c r="D56" i="32"/>
  <c r="D57" i="32" s="1"/>
  <c r="E57" i="32"/>
  <c r="B15" i="50"/>
  <c r="B16" i="48"/>
  <c r="A173" i="12"/>
  <c r="B19" i="36"/>
  <c r="A97" i="12"/>
  <c r="A53" i="50"/>
  <c r="A54" i="48"/>
  <c r="B30" i="36"/>
  <c r="A108" i="12"/>
  <c r="A63" i="50"/>
  <c r="A64" i="48"/>
  <c r="E64" i="48" s="1"/>
  <c r="E35" i="40" s="1"/>
  <c r="B15" i="36"/>
  <c r="A93" i="12"/>
  <c r="A13" i="50"/>
  <c r="A14" i="48"/>
  <c r="E14" i="48" s="1"/>
  <c r="E24" i="40" s="1"/>
  <c r="D15" i="36"/>
  <c r="E15" i="36"/>
  <c r="B7" i="36"/>
  <c r="A85" i="12"/>
  <c r="A28" i="50"/>
  <c r="A29" i="48"/>
  <c r="A18" i="50"/>
  <c r="A19" i="48"/>
  <c r="E19" i="48" s="1"/>
  <c r="D20" i="36"/>
  <c r="A61" i="50"/>
  <c r="A62" i="48"/>
  <c r="E62" i="48" s="1"/>
  <c r="E63" i="36"/>
  <c r="D113" i="48"/>
  <c r="D32" i="48"/>
  <c r="A9" i="50"/>
  <c r="A10" i="48"/>
  <c r="E10" i="48" s="1"/>
  <c r="E14" i="40" s="1"/>
  <c r="E11" i="36"/>
  <c r="D11" i="36"/>
  <c r="B16" i="50"/>
  <c r="B17" i="48"/>
  <c r="A174" i="12"/>
  <c r="D8" i="48"/>
  <c r="B48" i="36"/>
  <c r="A126" i="12"/>
  <c r="B46" i="36"/>
  <c r="A124" i="12"/>
  <c r="B18" i="50"/>
  <c r="B19" i="48"/>
  <c r="A176" i="12"/>
  <c r="E43" i="40"/>
  <c r="E28" i="42" s="1"/>
  <c r="E20" i="40"/>
  <c r="E21" i="40"/>
  <c r="C43" i="29"/>
  <c r="B41" i="12"/>
  <c r="B32" i="36"/>
  <c r="A110" i="12"/>
  <c r="B35" i="36"/>
  <c r="A113" i="12"/>
  <c r="E42" i="48"/>
  <c r="C42" i="29"/>
  <c r="F42" i="29" s="1"/>
  <c r="D41" i="48" s="1"/>
  <c r="B40" i="12"/>
  <c r="B37" i="36"/>
  <c r="A115" i="12"/>
  <c r="A31" i="36"/>
  <c r="C150" i="50" s="1"/>
  <c r="E150" i="50" s="1"/>
  <c r="D76" i="48"/>
  <c r="D129" i="48"/>
  <c r="D118" i="48"/>
  <c r="D128" i="48"/>
  <c r="B31" i="36"/>
  <c r="A109" i="12"/>
  <c r="B36" i="36"/>
  <c r="A114" i="12"/>
  <c r="A112" i="12"/>
  <c r="B34" i="36"/>
  <c r="B26" i="12"/>
  <c r="C26" i="12" s="1"/>
  <c r="B25" i="12"/>
  <c r="C25" i="12" s="1"/>
  <c r="E26" i="48"/>
  <c r="C151" i="50"/>
  <c r="E151" i="50" s="1"/>
  <c r="B165" i="12"/>
  <c r="C8" i="48"/>
  <c r="C86" i="35"/>
  <c r="C24" i="35"/>
  <c r="D104" i="48"/>
  <c r="C30" i="35"/>
  <c r="D30" i="35" s="1"/>
  <c r="D110" i="48"/>
  <c r="C25" i="35"/>
  <c r="D105" i="48"/>
  <c r="C78" i="35"/>
  <c r="C42" i="35"/>
  <c r="D122" i="48"/>
  <c r="C40" i="35"/>
  <c r="D40" i="35" s="1"/>
  <c r="D120" i="48"/>
  <c r="C82" i="35"/>
  <c r="C17" i="35"/>
  <c r="D95" i="48"/>
  <c r="C84" i="35"/>
  <c r="C37" i="35"/>
  <c r="D117" i="48"/>
  <c r="C284" i="37"/>
  <c r="B189" i="12"/>
  <c r="C90" i="35"/>
  <c r="C95" i="35"/>
  <c r="F120" i="36"/>
  <c r="D121" i="36"/>
  <c r="D115" i="36"/>
  <c r="F115" i="36" s="1"/>
  <c r="D95" i="37"/>
  <c r="D284" i="37"/>
  <c r="E93" i="36"/>
  <c r="F93" i="36" s="1"/>
  <c r="D205" i="37"/>
  <c r="E66" i="36"/>
  <c r="C93" i="37"/>
  <c r="D144" i="36" s="1"/>
  <c r="E26" i="36"/>
  <c r="E88" i="36"/>
  <c r="F88" i="36" s="1"/>
  <c r="D105" i="36"/>
  <c r="F105" i="36" s="1"/>
  <c r="B66" i="36"/>
  <c r="A144" i="12"/>
  <c r="B55" i="36"/>
  <c r="A133" i="12"/>
  <c r="B65" i="36"/>
  <c r="A143" i="12"/>
  <c r="B92" i="12"/>
  <c r="C14" i="36"/>
  <c r="F14" i="36" s="1"/>
  <c r="C12" i="50" s="1"/>
  <c r="B100" i="12"/>
  <c r="C100" i="12" s="1"/>
  <c r="C22" i="36"/>
  <c r="F22" i="36" s="1"/>
  <c r="C20" i="50" s="1"/>
  <c r="C29" i="29"/>
  <c r="B27" i="12"/>
  <c r="B24" i="12"/>
  <c r="C24" i="12" s="1"/>
  <c r="E149" i="29"/>
  <c r="F149" i="29" s="1"/>
  <c r="D148" i="48" s="1"/>
  <c r="E148" i="29"/>
  <c r="F148" i="29" s="1"/>
  <c r="D147" i="48" s="1"/>
  <c r="E147" i="29"/>
  <c r="F147" i="29" s="1"/>
  <c r="D146" i="48" s="1"/>
  <c r="C13" i="46" s="1"/>
  <c r="C118" i="46" s="1"/>
  <c r="D7" i="35"/>
  <c r="D36" i="35"/>
  <c r="E45" i="29"/>
  <c r="F45" i="29" s="1"/>
  <c r="C101" i="34"/>
  <c r="D62" i="29" s="1"/>
  <c r="F62" i="29" s="1"/>
  <c r="D61" i="48" s="1"/>
  <c r="E44" i="29"/>
  <c r="F44" i="29" s="1"/>
  <c r="D34" i="29"/>
  <c r="C316" i="34"/>
  <c r="D188" i="34"/>
  <c r="D315" i="34"/>
  <c r="E125" i="29"/>
  <c r="F125" i="29" s="1"/>
  <c r="I13" i="8"/>
  <c r="C30" i="8"/>
  <c r="I14" i="8"/>
  <c r="E15" i="8"/>
  <c r="D61" i="7"/>
  <c r="E61" i="7" s="1"/>
  <c r="D93" i="37"/>
  <c r="N91" i="7"/>
  <c r="N94" i="7" s="1"/>
  <c r="E126" i="7"/>
  <c r="C168" i="7"/>
  <c r="D85" i="37" s="1"/>
  <c r="E59" i="7"/>
  <c r="F59" i="7" s="1"/>
  <c r="F9" i="7"/>
  <c r="C27" i="29"/>
  <c r="C28" i="29"/>
  <c r="C26" i="29"/>
  <c r="D26" i="12"/>
  <c r="C63" i="7"/>
  <c r="C111" i="7"/>
  <c r="C99" i="34" s="1"/>
  <c r="D106" i="34" s="1"/>
  <c r="E104" i="29" s="1"/>
  <c r="F56" i="29"/>
  <c r="D55" i="48" s="1"/>
  <c r="F47" i="29"/>
  <c r="D46" i="48" s="1"/>
  <c r="D224" i="34"/>
  <c r="D134" i="34"/>
  <c r="E41" i="29"/>
  <c r="F41" i="29" s="1"/>
  <c r="D40" i="48" s="1"/>
  <c r="D35" i="29"/>
  <c r="D37" i="29"/>
  <c r="E38" i="29"/>
  <c r="F38" i="29" s="1"/>
  <c r="D37" i="48" s="1"/>
  <c r="F75" i="29"/>
  <c r="D122" i="29"/>
  <c r="F122" i="29" s="1"/>
  <c r="F8" i="29"/>
  <c r="D12" i="29"/>
  <c r="F12" i="29" s="1"/>
  <c r="D11" i="48" s="1"/>
  <c r="F67" i="29"/>
  <c r="F16" i="29"/>
  <c r="D15" i="48" s="1"/>
  <c r="D15" i="40" s="1"/>
  <c r="D271" i="34"/>
  <c r="E97" i="29" s="1"/>
  <c r="F97" i="29" s="1"/>
  <c r="F31" i="29"/>
  <c r="F76" i="29"/>
  <c r="D75" i="48" s="1"/>
  <c r="F72" i="29"/>
  <c r="F17" i="29"/>
  <c r="D16" i="48" s="1"/>
  <c r="D16" i="40" s="1"/>
  <c r="F59" i="29"/>
  <c r="E28" i="29"/>
  <c r="D65" i="29"/>
  <c r="E58" i="29"/>
  <c r="D58" i="29"/>
  <c r="F11" i="29"/>
  <c r="D19" i="29"/>
  <c r="E19" i="29"/>
  <c r="E50" i="29"/>
  <c r="D50" i="29"/>
  <c r="E10" i="29"/>
  <c r="D10" i="29"/>
  <c r="E32" i="29"/>
  <c r="D32" i="29"/>
  <c r="D30" i="29"/>
  <c r="D66" i="29"/>
  <c r="E66" i="29"/>
  <c r="E46" i="29"/>
  <c r="D46" i="29"/>
  <c r="D20" i="29"/>
  <c r="E20" i="29"/>
  <c r="D18" i="29"/>
  <c r="D21" i="29"/>
  <c r="E21" i="29"/>
  <c r="E73" i="29"/>
  <c r="F73" i="29" s="1"/>
  <c r="E49" i="29"/>
  <c r="D49" i="29"/>
  <c r="E60" i="29"/>
  <c r="D60" i="29"/>
  <c r="E43" i="29"/>
  <c r="D43" i="29"/>
  <c r="E57" i="29"/>
  <c r="D57" i="29"/>
  <c r="D63" i="29"/>
  <c r="E63" i="29"/>
  <c r="E51" i="29"/>
  <c r="D51" i="29"/>
  <c r="D36" i="29"/>
  <c r="E100" i="29"/>
  <c r="F100" i="29" s="1"/>
  <c r="D13" i="29"/>
  <c r="F13" i="29" s="1"/>
  <c r="E15" i="29"/>
  <c r="D15" i="29"/>
  <c r="C103" i="7"/>
  <c r="F145" i="36"/>
  <c r="C166" i="7"/>
  <c r="D302" i="37"/>
  <c r="N160" i="7"/>
  <c r="C298" i="37" s="1"/>
  <c r="D29" i="36" s="1"/>
  <c r="B85" i="47"/>
  <c r="D104" i="37"/>
  <c r="D106" i="37" s="1"/>
  <c r="E18" i="29"/>
  <c r="I34" i="6"/>
  <c r="I35" i="6" s="1"/>
  <c r="I36" i="6" s="1"/>
  <c r="I37" i="6" s="1"/>
  <c r="I38" i="6" s="1"/>
  <c r="D291" i="37"/>
  <c r="E30" i="36" s="1"/>
  <c r="F43" i="3"/>
  <c r="C290" i="37"/>
  <c r="D30" i="36" s="1"/>
  <c r="C17" i="37"/>
  <c r="C106" i="37"/>
  <c r="F145" i="29"/>
  <c r="D144" i="48" s="1"/>
  <c r="C186" i="34"/>
  <c r="D109" i="29" s="1"/>
  <c r="P118" i="10"/>
  <c r="K117" i="10"/>
  <c r="I150" i="10"/>
  <c r="J150" i="10" s="1"/>
  <c r="C80" i="34"/>
  <c r="C81" i="34" s="1"/>
  <c r="C98" i="34"/>
  <c r="D26" i="29" s="1"/>
  <c r="D78" i="6"/>
  <c r="L78" i="6"/>
  <c r="I74" i="6"/>
  <c r="D81" i="34"/>
  <c r="C176" i="37"/>
  <c r="D94" i="10"/>
  <c r="C146" i="10"/>
  <c r="C152" i="10" s="1"/>
  <c r="L123" i="6"/>
  <c r="I121" i="6"/>
  <c r="D123" i="6"/>
  <c r="C283" i="34"/>
  <c r="D282" i="34"/>
  <c r="E93" i="29" s="1"/>
  <c r="F93" i="29" s="1"/>
  <c r="C177" i="7"/>
  <c r="C129" i="7"/>
  <c r="F152" i="10"/>
  <c r="I57" i="9"/>
  <c r="D147" i="37" s="1"/>
  <c r="E45" i="36" s="1"/>
  <c r="E57" i="9"/>
  <c r="C150" i="34"/>
  <c r="F115" i="29"/>
  <c r="B130" i="46"/>
  <c r="E98" i="29"/>
  <c r="F98" i="29" s="1"/>
  <c r="C134" i="34"/>
  <c r="E21" i="8"/>
  <c r="F21" i="8" s="1"/>
  <c r="E9" i="42"/>
  <c r="E12" i="42" s="1"/>
  <c r="E70" i="48"/>
  <c r="E84" i="48"/>
  <c r="E102" i="48"/>
  <c r="C44" i="37"/>
  <c r="F99" i="36"/>
  <c r="C99" i="50" s="1"/>
  <c r="C272" i="34"/>
  <c r="B151" i="47"/>
  <c r="D42" i="20"/>
  <c r="D33" i="20" s="1"/>
  <c r="D35" i="20" s="1"/>
  <c r="C195" i="34" s="1"/>
  <c r="D110" i="29" s="1"/>
  <c r="M44" i="20"/>
  <c r="F34" i="12"/>
  <c r="C14" i="7"/>
  <c r="C102" i="7"/>
  <c r="C157" i="34"/>
  <c r="D128" i="29" s="1"/>
  <c r="D158" i="34"/>
  <c r="P13" i="10"/>
  <c r="K12" i="10"/>
  <c r="I149" i="10"/>
  <c r="J149" i="10" s="1"/>
  <c r="F48" i="29"/>
  <c r="D47" i="48" s="1"/>
  <c r="C136" i="37"/>
  <c r="D123" i="36" s="1"/>
  <c r="F123" i="36" s="1"/>
  <c r="C125" i="50" s="1"/>
  <c r="E125" i="50" s="1"/>
  <c r="D107" i="35" s="1"/>
  <c r="D140" i="37"/>
  <c r="D65" i="20"/>
  <c r="M67" i="20"/>
  <c r="D19" i="20"/>
  <c r="M21" i="20"/>
  <c r="D27" i="8"/>
  <c r="C65" i="20"/>
  <c r="C67" i="20" s="1"/>
  <c r="C58" i="20"/>
  <c r="K58" i="10"/>
  <c r="P59" i="10"/>
  <c r="E124" i="29"/>
  <c r="F32" i="12"/>
  <c r="D63" i="12"/>
  <c r="F63" i="12" s="1"/>
  <c r="D18" i="33"/>
  <c r="D147" i="10"/>
  <c r="E95" i="10"/>
  <c r="H95" i="10" s="1"/>
  <c r="H92" i="10"/>
  <c r="E35" i="29"/>
  <c r="D25" i="10"/>
  <c r="C105" i="34"/>
  <c r="D144" i="29" s="1"/>
  <c r="C43" i="3"/>
  <c r="D43" i="3"/>
  <c r="D111" i="12"/>
  <c r="E26" i="8"/>
  <c r="G26" i="8" s="1"/>
  <c r="H26" i="8" s="1"/>
  <c r="F35" i="12" s="1"/>
  <c r="E94" i="10"/>
  <c r="D146" i="10"/>
  <c r="H91" i="10"/>
  <c r="C18" i="42"/>
  <c r="E137" i="48" l="1"/>
  <c r="D44" i="20"/>
  <c r="D25" i="12"/>
  <c r="F25" i="12" s="1"/>
  <c r="C178" i="7"/>
  <c r="D194" i="34"/>
  <c r="E7" i="50"/>
  <c r="L7" i="63" s="1"/>
  <c r="H7" i="63"/>
  <c r="C95" i="48"/>
  <c r="C149" i="50"/>
  <c r="E149" i="50" s="1"/>
  <c r="C97" i="48"/>
  <c r="E10" i="40"/>
  <c r="E99" i="50"/>
  <c r="H315" i="63"/>
  <c r="E20" i="50"/>
  <c r="L73" i="63" s="1"/>
  <c r="H73" i="63"/>
  <c r="L493" i="57"/>
  <c r="XFC492" i="57"/>
  <c r="B43" i="50"/>
  <c r="A201" i="12"/>
  <c r="B44" i="48"/>
  <c r="E64" i="29"/>
  <c r="D10" i="48"/>
  <c r="B46" i="50"/>
  <c r="B47" i="48"/>
  <c r="A204" i="12"/>
  <c r="B24" i="50"/>
  <c r="B25" i="48"/>
  <c r="A182" i="12"/>
  <c r="B26" i="50"/>
  <c r="B27" i="48"/>
  <c r="A184" i="12"/>
  <c r="B61" i="50"/>
  <c r="B62" i="48"/>
  <c r="A219" i="12"/>
  <c r="D107" i="34"/>
  <c r="B53" i="50"/>
  <c r="B54" i="48"/>
  <c r="A211" i="12"/>
  <c r="B5" i="50"/>
  <c r="A163" i="12"/>
  <c r="B6" i="48"/>
  <c r="B45" i="50"/>
  <c r="B46" i="48"/>
  <c r="A203" i="12"/>
  <c r="C109" i="7"/>
  <c r="D63" i="7"/>
  <c r="A5" i="50"/>
  <c r="A6" i="48"/>
  <c r="E6" i="48" s="1"/>
  <c r="E8" i="40" s="1"/>
  <c r="D48" i="43" s="1"/>
  <c r="C86" i="50"/>
  <c r="B63" i="50"/>
  <c r="B64" i="48"/>
  <c r="A221" i="12"/>
  <c r="B64" i="50"/>
  <c r="B65" i="48"/>
  <c r="A222" i="12"/>
  <c r="B44" i="50"/>
  <c r="B45" i="48"/>
  <c r="A202" i="12"/>
  <c r="B13" i="50"/>
  <c r="A171" i="12"/>
  <c r="B14" i="48"/>
  <c r="B28" i="50"/>
  <c r="B29" i="48"/>
  <c r="A186" i="12"/>
  <c r="B17" i="50"/>
  <c r="A175" i="12"/>
  <c r="B18" i="48"/>
  <c r="B19" i="50"/>
  <c r="B20" i="48"/>
  <c r="A177" i="12"/>
  <c r="B42" i="50"/>
  <c r="B43" i="48"/>
  <c r="A200" i="12"/>
  <c r="B21" i="50"/>
  <c r="A179" i="12"/>
  <c r="B22" i="48"/>
  <c r="B34" i="50"/>
  <c r="B35" i="48"/>
  <c r="A192" i="12"/>
  <c r="A29" i="50"/>
  <c r="A30" i="48"/>
  <c r="E30" i="48" s="1"/>
  <c r="E19" i="40" s="1"/>
  <c r="E25" i="40" s="1"/>
  <c r="E31" i="36"/>
  <c r="D31" i="36"/>
  <c r="C136" i="48"/>
  <c r="C139" i="50"/>
  <c r="C116" i="50"/>
  <c r="C114" i="50"/>
  <c r="E114" i="50" s="1"/>
  <c r="C116" i="48"/>
  <c r="C100" i="48"/>
  <c r="C128" i="48"/>
  <c r="C115" i="48"/>
  <c r="C88" i="48"/>
  <c r="C121" i="50"/>
  <c r="C86" i="48"/>
  <c r="C111" i="48"/>
  <c r="C113" i="48"/>
  <c r="C119" i="50"/>
  <c r="C101" i="50"/>
  <c r="C131" i="50"/>
  <c r="C118" i="50"/>
  <c r="H452" i="63" s="1"/>
  <c r="C89" i="50"/>
  <c r="C76" i="48"/>
  <c r="C96" i="48"/>
  <c r="C127" i="50"/>
  <c r="E127" i="50" s="1"/>
  <c r="C115" i="50"/>
  <c r="C90" i="50"/>
  <c r="C94" i="50"/>
  <c r="C118" i="48"/>
  <c r="C87" i="50"/>
  <c r="C124" i="48"/>
  <c r="C112" i="48"/>
  <c r="C89" i="48"/>
  <c r="C123" i="48"/>
  <c r="C93" i="48"/>
  <c r="C106" i="48"/>
  <c r="C76" i="50"/>
  <c r="E76" i="50" s="1"/>
  <c r="C97" i="50"/>
  <c r="C85" i="48"/>
  <c r="C126" i="50"/>
  <c r="E126" i="50" s="1"/>
  <c r="C109" i="50"/>
  <c r="E109" i="50" s="1"/>
  <c r="C146" i="48"/>
  <c r="B13" i="46" s="1"/>
  <c r="B118" i="46" s="1"/>
  <c r="C148" i="48"/>
  <c r="C147" i="48"/>
  <c r="B32" i="50"/>
  <c r="A190" i="12"/>
  <c r="B33" i="48"/>
  <c r="C92" i="50"/>
  <c r="C98" i="50"/>
  <c r="B33" i="50"/>
  <c r="B34" i="48"/>
  <c r="A191" i="12"/>
  <c r="C91" i="48"/>
  <c r="C99" i="48"/>
  <c r="B30" i="46" s="1"/>
  <c r="C148" i="50"/>
  <c r="C108" i="50"/>
  <c r="C113" i="50"/>
  <c r="C31" i="50"/>
  <c r="B35" i="50"/>
  <c r="A193" i="12"/>
  <c r="B36" i="48"/>
  <c r="C96" i="50"/>
  <c r="C122" i="50"/>
  <c r="C145" i="48"/>
  <c r="C105" i="48"/>
  <c r="C110" i="48"/>
  <c r="C32" i="48"/>
  <c r="B29" i="50"/>
  <c r="B30" i="48"/>
  <c r="A187" i="12"/>
  <c r="B30" i="50"/>
  <c r="B31" i="48"/>
  <c r="A188" i="12"/>
  <c r="C100" i="50"/>
  <c r="C87" i="48"/>
  <c r="B36" i="46" s="1"/>
  <c r="B79" i="46" s="1"/>
  <c r="C88" i="50"/>
  <c r="C114" i="48"/>
  <c r="C117" i="50"/>
  <c r="C92" i="48"/>
  <c r="B37" i="46" s="1"/>
  <c r="B105" i="46" s="1"/>
  <c r="C93" i="50"/>
  <c r="C144" i="48"/>
  <c r="C147" i="50"/>
  <c r="E147" i="50" s="1"/>
  <c r="E12" i="50"/>
  <c r="C104" i="48"/>
  <c r="C107" i="50"/>
  <c r="C34" i="35"/>
  <c r="D34" i="35" s="1"/>
  <c r="D114" i="48"/>
  <c r="C21" i="35"/>
  <c r="D99" i="48"/>
  <c r="C72" i="36"/>
  <c r="D71" i="48"/>
  <c r="D41" i="40" s="1"/>
  <c r="C85" i="35"/>
  <c r="C98" i="48"/>
  <c r="C19" i="35"/>
  <c r="D97" i="48"/>
  <c r="D15" i="43" s="1"/>
  <c r="C73" i="36"/>
  <c r="D72" i="48"/>
  <c r="C67" i="36"/>
  <c r="D66" i="48"/>
  <c r="D30" i="40" s="1"/>
  <c r="H30" i="40" s="1"/>
  <c r="C103" i="46" s="1"/>
  <c r="C41" i="35"/>
  <c r="D121" i="48"/>
  <c r="C44" i="36"/>
  <c r="D43" i="48"/>
  <c r="C104" i="35"/>
  <c r="C119" i="48"/>
  <c r="C14" i="35"/>
  <c r="D92" i="48"/>
  <c r="D18" i="41" s="1"/>
  <c r="C107" i="35"/>
  <c r="C122" i="48"/>
  <c r="C43" i="35"/>
  <c r="D43" i="35" s="1"/>
  <c r="D124" i="48"/>
  <c r="B178" i="12"/>
  <c r="C21" i="48"/>
  <c r="C13" i="36"/>
  <c r="F13" i="36" s="1"/>
  <c r="C11" i="50" s="1"/>
  <c r="E11" i="50" s="1"/>
  <c r="D12" i="48"/>
  <c r="C59" i="36"/>
  <c r="C165" i="37" s="1"/>
  <c r="D59" i="36" s="1"/>
  <c r="F59" i="36" s="1"/>
  <c r="C57" i="50" s="1"/>
  <c r="E57" i="50" s="1"/>
  <c r="D58" i="48"/>
  <c r="C31" i="36"/>
  <c r="C75" i="36"/>
  <c r="D74" i="48"/>
  <c r="B170" i="12"/>
  <c r="C13" i="48"/>
  <c r="C18" i="35"/>
  <c r="D96" i="48"/>
  <c r="C8" i="36"/>
  <c r="F8" i="36" s="1"/>
  <c r="C6" i="50" s="1"/>
  <c r="D7" i="48"/>
  <c r="C45" i="36"/>
  <c r="F45" i="36" s="1"/>
  <c r="C43" i="50" s="1"/>
  <c r="D44" i="48"/>
  <c r="C99" i="35"/>
  <c r="D109" i="36"/>
  <c r="F109" i="36" s="1"/>
  <c r="C111" i="50" s="1"/>
  <c r="C79" i="35"/>
  <c r="C89" i="35"/>
  <c r="C74" i="35"/>
  <c r="C94" i="37"/>
  <c r="E27" i="36"/>
  <c r="E144" i="36"/>
  <c r="B95" i="12"/>
  <c r="D95" i="12" s="1"/>
  <c r="F95" i="12" s="1"/>
  <c r="C17" i="36"/>
  <c r="B126" i="12"/>
  <c r="C126" i="12" s="1"/>
  <c r="C48" i="36"/>
  <c r="F48" i="36" s="1"/>
  <c r="B89" i="12"/>
  <c r="C89" i="12" s="1"/>
  <c r="D89" i="12" s="1"/>
  <c r="C11" i="36"/>
  <c r="F11" i="36" s="1"/>
  <c r="C9" i="50" s="1"/>
  <c r="B94" i="12"/>
  <c r="C16" i="36"/>
  <c r="F16" i="36" s="1"/>
  <c r="C14" i="50" s="1"/>
  <c r="B140" i="12"/>
  <c r="C140" i="12" s="1"/>
  <c r="C62" i="36"/>
  <c r="B120" i="12"/>
  <c r="C120" i="12" s="1"/>
  <c r="C42" i="36"/>
  <c r="C76" i="36"/>
  <c r="F76" i="36" s="1"/>
  <c r="B125" i="12"/>
  <c r="C125" i="12" s="1"/>
  <c r="C47" i="36"/>
  <c r="B90" i="12"/>
  <c r="D90" i="12" s="1"/>
  <c r="C12" i="36"/>
  <c r="F12" i="36" s="1"/>
  <c r="C10" i="50" s="1"/>
  <c r="B116" i="12"/>
  <c r="C116" i="12" s="1"/>
  <c r="C38" i="36"/>
  <c r="B119" i="12"/>
  <c r="C119" i="12" s="1"/>
  <c r="C41" i="36"/>
  <c r="B134" i="12"/>
  <c r="C134" i="12" s="1"/>
  <c r="D134" i="12" s="1"/>
  <c r="C56" i="36"/>
  <c r="C162" i="37" s="1"/>
  <c r="B145" i="12"/>
  <c r="B137" i="12"/>
  <c r="C137" i="12" s="1"/>
  <c r="B122" i="12"/>
  <c r="B123" i="12"/>
  <c r="B86" i="12"/>
  <c r="C86" i="12" s="1"/>
  <c r="D86" i="12" s="1"/>
  <c r="B91" i="12"/>
  <c r="D91" i="12" s="1"/>
  <c r="B109" i="12"/>
  <c r="C109" i="12" s="1"/>
  <c r="H94" i="10"/>
  <c r="D203" i="34" s="1"/>
  <c r="E65" i="29" s="1"/>
  <c r="F65" i="29" s="1"/>
  <c r="D64" i="48" s="1"/>
  <c r="D35" i="40" s="1"/>
  <c r="C318" i="34"/>
  <c r="D133" i="29"/>
  <c r="F133" i="29" s="1"/>
  <c r="D272" i="34"/>
  <c r="E34" i="29"/>
  <c r="F34" i="29" s="1"/>
  <c r="E37" i="29"/>
  <c r="F37" i="29" s="1"/>
  <c r="D36" i="48" s="1"/>
  <c r="H21" i="8"/>
  <c r="F31" i="12" s="1"/>
  <c r="I15" i="8"/>
  <c r="D17" i="35"/>
  <c r="F27" i="8"/>
  <c r="F63" i="7"/>
  <c r="E127" i="7"/>
  <c r="E129" i="7" s="1"/>
  <c r="E63" i="7"/>
  <c r="C302" i="37"/>
  <c r="D27" i="29"/>
  <c r="F35" i="29"/>
  <c r="D34" i="48" s="1"/>
  <c r="D9" i="42"/>
  <c r="F9" i="42" s="1"/>
  <c r="I42" i="6"/>
  <c r="I43" i="6" s="1"/>
  <c r="E40" i="6" s="1"/>
  <c r="E37" i="6" s="1"/>
  <c r="D124" i="29"/>
  <c r="F124" i="29" s="1"/>
  <c r="D123" i="48" s="1"/>
  <c r="E39" i="29"/>
  <c r="F39" i="29" s="1"/>
  <c r="D38" i="48" s="1"/>
  <c r="E40" i="29"/>
  <c r="F40" i="29" s="1"/>
  <c r="D39" i="48" s="1"/>
  <c r="E36" i="29"/>
  <c r="F36" i="29" s="1"/>
  <c r="D35" i="48" s="1"/>
  <c r="D35" i="35"/>
  <c r="F60" i="29"/>
  <c r="F63" i="29"/>
  <c r="F50" i="29"/>
  <c r="F58" i="29"/>
  <c r="F43" i="29"/>
  <c r="D42" i="48" s="1"/>
  <c r="F51" i="29"/>
  <c r="D50" i="48" s="1"/>
  <c r="F21" i="29"/>
  <c r="F66" i="29"/>
  <c r="D65" i="48" s="1"/>
  <c r="D31" i="40" s="1"/>
  <c r="F57" i="29"/>
  <c r="D56" i="48" s="1"/>
  <c r="F19" i="29"/>
  <c r="D18" i="48" s="1"/>
  <c r="F49" i="29"/>
  <c r="D48" i="48" s="1"/>
  <c r="F20" i="29"/>
  <c r="D19" i="48" s="1"/>
  <c r="H15" i="40" s="1"/>
  <c r="C102" i="46" s="1"/>
  <c r="F46" i="29"/>
  <c r="D45" i="48" s="1"/>
  <c r="F32" i="29"/>
  <c r="D31" i="48" s="1"/>
  <c r="F15" i="29"/>
  <c r="D297" i="34"/>
  <c r="E88" i="29" s="1"/>
  <c r="F88" i="29" s="1"/>
  <c r="C26" i="34"/>
  <c r="D27" i="34"/>
  <c r="F18" i="29"/>
  <c r="D17" i="48" s="1"/>
  <c r="D292" i="37"/>
  <c r="C292" i="37"/>
  <c r="F109" i="29"/>
  <c r="D108" i="48" s="1"/>
  <c r="C188" i="34"/>
  <c r="I122" i="6"/>
  <c r="I123" i="6" s="1"/>
  <c r="I124" i="6" s="1"/>
  <c r="L124" i="6" s="1"/>
  <c r="L125" i="6" s="1"/>
  <c r="E126" i="6" s="1"/>
  <c r="E123" i="6" s="1"/>
  <c r="D25" i="37"/>
  <c r="E18" i="36" s="1"/>
  <c r="D283" i="34"/>
  <c r="E24" i="8"/>
  <c r="E27" i="8" s="1"/>
  <c r="D21" i="20"/>
  <c r="C59" i="2" s="1"/>
  <c r="D10" i="20"/>
  <c r="D12" i="20" s="1"/>
  <c r="D67" i="20"/>
  <c r="C185" i="37" s="1"/>
  <c r="D56" i="20"/>
  <c r="D58" i="20" s="1"/>
  <c r="C87" i="37"/>
  <c r="D27" i="36" s="1"/>
  <c r="C175" i="7"/>
  <c r="D361" i="37" s="1"/>
  <c r="F129" i="7"/>
  <c r="I75" i="6"/>
  <c r="I76" i="6" s="1"/>
  <c r="I77" i="6" s="1"/>
  <c r="D105" i="34"/>
  <c r="E144" i="29" s="1"/>
  <c r="F26" i="29"/>
  <c r="D25" i="48" s="1"/>
  <c r="P119" i="10"/>
  <c r="K118" i="10"/>
  <c r="E44" i="40"/>
  <c r="D149" i="37"/>
  <c r="C148" i="37"/>
  <c r="D128" i="36" s="1"/>
  <c r="F128" i="36" s="1"/>
  <c r="C130" i="50" s="1"/>
  <c r="D30" i="12"/>
  <c r="F15" i="42"/>
  <c r="C140" i="37"/>
  <c r="K59" i="10"/>
  <c r="P60" i="10"/>
  <c r="P14" i="10"/>
  <c r="P15" i="10" s="1"/>
  <c r="K15" i="10" s="1"/>
  <c r="K13" i="10"/>
  <c r="D97" i="34"/>
  <c r="E27" i="29" s="1"/>
  <c r="C100" i="7"/>
  <c r="F10" i="7"/>
  <c r="C158" i="34"/>
  <c r="F128" i="29"/>
  <c r="E24" i="29"/>
  <c r="C19" i="33"/>
  <c r="D19" i="33" s="1"/>
  <c r="C15" i="12" s="1"/>
  <c r="D15" i="12" s="1"/>
  <c r="D148" i="10"/>
  <c r="I148" i="10" s="1"/>
  <c r="C320" i="37" s="1"/>
  <c r="D133" i="36" s="1"/>
  <c r="F133" i="36" s="1"/>
  <c r="C135" i="50" s="1"/>
  <c r="I147" i="10"/>
  <c r="J147" i="10" s="1"/>
  <c r="H103" i="10"/>
  <c r="I92" i="10"/>
  <c r="H102" i="10"/>
  <c r="I156" i="10"/>
  <c r="D152" i="10"/>
  <c r="I152" i="10" s="1"/>
  <c r="I146" i="10"/>
  <c r="J146" i="10" s="1"/>
  <c r="D317" i="34"/>
  <c r="C22" i="42"/>
  <c r="D91" i="35" l="1"/>
  <c r="E91" i="35" s="1"/>
  <c r="D109" i="35"/>
  <c r="E109" i="35" s="1"/>
  <c r="D108" i="35"/>
  <c r="E108" i="35" s="1"/>
  <c r="D96" i="35"/>
  <c r="E96" i="35" s="1"/>
  <c r="L315" i="63"/>
  <c r="L314" i="63" s="1"/>
  <c r="I895" i="63" s="1"/>
  <c r="D85" i="35"/>
  <c r="E85" i="35" s="1"/>
  <c r="C112" i="7"/>
  <c r="D206" i="34"/>
  <c r="C205" i="34"/>
  <c r="D127" i="29" s="1"/>
  <c r="E107" i="35"/>
  <c r="H310" i="63"/>
  <c r="E98" i="50"/>
  <c r="H564" i="63"/>
  <c r="H312" i="63"/>
  <c r="H554" i="63"/>
  <c r="E135" i="50"/>
  <c r="D117" i="35" s="1"/>
  <c r="H563" i="63"/>
  <c r="E97" i="50"/>
  <c r="D83" i="35" s="1"/>
  <c r="E83" i="35" s="1"/>
  <c r="H311" i="63"/>
  <c r="H467" i="63"/>
  <c r="E121" i="50"/>
  <c r="D103" i="35" s="1"/>
  <c r="K7" i="63"/>
  <c r="J7" i="63"/>
  <c r="D30" i="48"/>
  <c r="D8" i="47"/>
  <c r="C21" i="2"/>
  <c r="H445" i="63"/>
  <c r="E122" i="50"/>
  <c r="D104" i="35" s="1"/>
  <c r="H462" i="63"/>
  <c r="E90" i="50"/>
  <c r="D76" i="35" s="1"/>
  <c r="E76" i="35" s="1"/>
  <c r="H286" i="63"/>
  <c r="E101" i="50"/>
  <c r="H277" i="63"/>
  <c r="E116" i="50"/>
  <c r="D98" i="35" s="1"/>
  <c r="H448" i="63"/>
  <c r="E117" i="50"/>
  <c r="D99" i="35" s="1"/>
  <c r="H446" i="63"/>
  <c r="E100" i="50"/>
  <c r="D86" i="35" s="1"/>
  <c r="E86" i="35" s="1"/>
  <c r="H300" i="63"/>
  <c r="E96" i="50"/>
  <c r="H295" i="63"/>
  <c r="E89" i="50"/>
  <c r="H275" i="63"/>
  <c r="E119" i="50"/>
  <c r="D101" i="35" s="1"/>
  <c r="H461" i="63"/>
  <c r="E43" i="50"/>
  <c r="L98" i="63" s="1"/>
  <c r="H98" i="63"/>
  <c r="E118" i="50"/>
  <c r="H459" i="63"/>
  <c r="H314" i="63"/>
  <c r="H895" i="63" s="1"/>
  <c r="E130" i="50"/>
  <c r="D112" i="35" s="1"/>
  <c r="H473" i="63"/>
  <c r="E88" i="50"/>
  <c r="H309" i="63"/>
  <c r="E92" i="50"/>
  <c r="H364" i="63"/>
  <c r="E94" i="50"/>
  <c r="D80" i="35" s="1"/>
  <c r="E80" i="35" s="1"/>
  <c r="E131" i="50"/>
  <c r="E86" i="50"/>
  <c r="D72" i="35" s="1"/>
  <c r="E72" i="35" s="1"/>
  <c r="H263" i="63"/>
  <c r="K73" i="63"/>
  <c r="J73" i="63"/>
  <c r="C25" i="46"/>
  <c r="C129" i="46" s="1"/>
  <c r="C128" i="46" s="1"/>
  <c r="D31" i="43" s="1"/>
  <c r="F31" i="36"/>
  <c r="C29" i="50" s="1"/>
  <c r="C17" i="41"/>
  <c r="B155" i="47" s="1"/>
  <c r="E9" i="50"/>
  <c r="H18" i="63"/>
  <c r="E14" i="50"/>
  <c r="L16" i="63" s="1"/>
  <c r="H16" i="63"/>
  <c r="D109" i="12"/>
  <c r="XFC493" i="57"/>
  <c r="L494" i="57"/>
  <c r="D14" i="40"/>
  <c r="H14" i="40" s="1"/>
  <c r="C100" i="46" s="1"/>
  <c r="C64" i="29"/>
  <c r="C193" i="34" s="1"/>
  <c r="B61" i="12"/>
  <c r="E63" i="48"/>
  <c r="E28" i="40" s="1"/>
  <c r="B23" i="12"/>
  <c r="D23" i="12" s="1"/>
  <c r="F23" i="12" s="1"/>
  <c r="E24" i="48"/>
  <c r="E9" i="40" s="1"/>
  <c r="D21" i="40"/>
  <c r="D184" i="37"/>
  <c r="E64" i="36" s="1"/>
  <c r="C18" i="41"/>
  <c r="E87" i="50"/>
  <c r="D73" i="35" s="1"/>
  <c r="E73" i="35" s="1"/>
  <c r="E111" i="50"/>
  <c r="D93" i="35" s="1"/>
  <c r="E6" i="59"/>
  <c r="E113" i="50"/>
  <c r="E31" i="50"/>
  <c r="E115" i="50"/>
  <c r="E139" i="50"/>
  <c r="C8" i="41"/>
  <c r="E107" i="50"/>
  <c r="E6" i="50"/>
  <c r="C75" i="48"/>
  <c r="C75" i="50"/>
  <c r="H233" i="63" s="1"/>
  <c r="H232" i="63" s="1"/>
  <c r="C47" i="48"/>
  <c r="C46" i="50"/>
  <c r="C46" i="35"/>
  <c r="D46" i="35" s="1"/>
  <c r="D127" i="48"/>
  <c r="C117" i="35"/>
  <c r="C132" i="48"/>
  <c r="C15" i="36"/>
  <c r="F15" i="36" s="1"/>
  <c r="D14" i="48"/>
  <c r="D24" i="40" s="1"/>
  <c r="H24" i="40" s="1"/>
  <c r="D32" i="43" s="1"/>
  <c r="C21" i="36"/>
  <c r="F21" i="36" s="1"/>
  <c r="C19" i="50" s="1"/>
  <c r="D20" i="48"/>
  <c r="H16" i="40" s="1"/>
  <c r="C101" i="46" s="1"/>
  <c r="C58" i="36"/>
  <c r="C164" i="37" s="1"/>
  <c r="D58" i="36" s="1"/>
  <c r="F58" i="36" s="1"/>
  <c r="C56" i="50" s="1"/>
  <c r="E56" i="50" s="1"/>
  <c r="D57" i="48"/>
  <c r="C112" i="35"/>
  <c r="C127" i="48"/>
  <c r="B169" i="12"/>
  <c r="C12" i="48"/>
  <c r="C34" i="36"/>
  <c r="F34" i="36" s="1"/>
  <c r="C32" i="50" s="1"/>
  <c r="D33" i="48"/>
  <c r="C50" i="36"/>
  <c r="F50" i="36" s="1"/>
  <c r="C48" i="50" s="1"/>
  <c r="D49" i="48"/>
  <c r="D20" i="40" s="1"/>
  <c r="H20" i="40" s="1"/>
  <c r="C139" i="46" s="1"/>
  <c r="C60" i="36"/>
  <c r="C166" i="37" s="1"/>
  <c r="D60" i="36" s="1"/>
  <c r="F60" i="36" s="1"/>
  <c r="C58" i="50" s="1"/>
  <c r="E58" i="50" s="1"/>
  <c r="D59" i="48"/>
  <c r="C51" i="35"/>
  <c r="D132" i="48"/>
  <c r="B164" i="12"/>
  <c r="C7" i="48"/>
  <c r="B215" i="12"/>
  <c r="C58" i="48"/>
  <c r="B168" i="12"/>
  <c r="C11" i="48"/>
  <c r="C93" i="35"/>
  <c r="C108" i="48"/>
  <c r="C63" i="36"/>
  <c r="C168" i="37" s="1"/>
  <c r="D63" i="36" s="1"/>
  <c r="F63" i="36" s="1"/>
  <c r="C61" i="50" s="1"/>
  <c r="D62" i="48"/>
  <c r="B167" i="12"/>
  <c r="C10" i="48"/>
  <c r="B201" i="12"/>
  <c r="C44" i="48"/>
  <c r="C9" i="35"/>
  <c r="D87" i="48"/>
  <c r="D137" i="12"/>
  <c r="B172" i="12"/>
  <c r="C15" i="48"/>
  <c r="C15" i="40" s="1"/>
  <c r="D129" i="7"/>
  <c r="B204" i="12"/>
  <c r="D110" i="36"/>
  <c r="F110" i="36" s="1"/>
  <c r="C362" i="37"/>
  <c r="D104" i="36" s="1"/>
  <c r="E143" i="36"/>
  <c r="F143" i="36" s="1"/>
  <c r="F144" i="36"/>
  <c r="C293" i="37"/>
  <c r="D108" i="36"/>
  <c r="D293" i="37"/>
  <c r="E108" i="36"/>
  <c r="D56" i="36"/>
  <c r="F56" i="36" s="1"/>
  <c r="C54" i="50" s="1"/>
  <c r="D120" i="12"/>
  <c r="D125" i="12"/>
  <c r="B98" i="12"/>
  <c r="C98" i="12" s="1"/>
  <c r="C20" i="36"/>
  <c r="D65" i="37" s="1"/>
  <c r="E20" i="36" s="1"/>
  <c r="B144" i="12"/>
  <c r="C66" i="36"/>
  <c r="B104" i="12"/>
  <c r="C104" i="12" s="1"/>
  <c r="C26" i="36"/>
  <c r="F26" i="36" s="1"/>
  <c r="B96" i="12"/>
  <c r="C96" i="12" s="1"/>
  <c r="C18" i="36"/>
  <c r="B124" i="12"/>
  <c r="C124" i="12" s="1"/>
  <c r="C46" i="36"/>
  <c r="F46" i="36" s="1"/>
  <c r="C44" i="50" s="1"/>
  <c r="H68" i="63" s="1"/>
  <c r="B135" i="12"/>
  <c r="C135" i="12" s="1"/>
  <c r="D135" i="12" s="1"/>
  <c r="C57" i="36"/>
  <c r="C163" i="37" s="1"/>
  <c r="B118" i="12"/>
  <c r="C118" i="12" s="1"/>
  <c r="C40" i="36"/>
  <c r="B115" i="12"/>
  <c r="C115" i="12" s="1"/>
  <c r="C37" i="36"/>
  <c r="F37" i="36" s="1"/>
  <c r="B117" i="12"/>
  <c r="C39" i="36"/>
  <c r="F39" i="36" s="1"/>
  <c r="C37" i="50" s="1"/>
  <c r="B127" i="12"/>
  <c r="C127" i="12" s="1"/>
  <c r="C49" i="36"/>
  <c r="F49" i="36" s="1"/>
  <c r="B143" i="12"/>
  <c r="C143" i="12" s="1"/>
  <c r="C65" i="36"/>
  <c r="B113" i="12"/>
  <c r="C113" i="12" s="1"/>
  <c r="C35" i="36"/>
  <c r="B110" i="12"/>
  <c r="C110" i="12" s="1"/>
  <c r="D110" i="12" s="1"/>
  <c r="C32" i="36"/>
  <c r="F32" i="36" s="1"/>
  <c r="B97" i="12"/>
  <c r="C97" i="12" s="1"/>
  <c r="C19" i="36"/>
  <c r="F19" i="36" s="1"/>
  <c r="C17" i="50" s="1"/>
  <c r="B129" i="12"/>
  <c r="C51" i="36"/>
  <c r="F51" i="36" s="1"/>
  <c r="B121" i="12"/>
  <c r="D121" i="12" s="1"/>
  <c r="C43" i="36"/>
  <c r="F43" i="36" s="1"/>
  <c r="C41" i="50" s="1"/>
  <c r="B114" i="12"/>
  <c r="C114" i="12" s="1"/>
  <c r="C36" i="36"/>
  <c r="F36" i="36" s="1"/>
  <c r="C34" i="50" s="1"/>
  <c r="E34" i="50" s="1"/>
  <c r="B138" i="12"/>
  <c r="C138" i="12" s="1"/>
  <c r="B136" i="12"/>
  <c r="C136" i="12" s="1"/>
  <c r="B141" i="12"/>
  <c r="C123" i="12"/>
  <c r="D123" i="12" s="1"/>
  <c r="C122" i="12"/>
  <c r="D122" i="12" s="1"/>
  <c r="F122" i="12" s="1"/>
  <c r="I45" i="8"/>
  <c r="B112" i="12"/>
  <c r="B128" i="12"/>
  <c r="D128" i="12" s="1"/>
  <c r="F128" i="12" s="1"/>
  <c r="B93" i="12"/>
  <c r="C93" i="12" s="1"/>
  <c r="D93" i="12" s="1"/>
  <c r="B99" i="12"/>
  <c r="D143" i="29"/>
  <c r="C28" i="35"/>
  <c r="D28" i="35" s="1"/>
  <c r="C38" i="46"/>
  <c r="C104" i="46" s="1"/>
  <c r="P16" i="10"/>
  <c r="G24" i="8"/>
  <c r="H24" i="8" s="1"/>
  <c r="D142" i="36"/>
  <c r="C27" i="8"/>
  <c r="D119" i="12"/>
  <c r="F42" i="36"/>
  <c r="C40" i="50" s="1"/>
  <c r="E40" i="50" s="1"/>
  <c r="C25" i="29"/>
  <c r="F17" i="36"/>
  <c r="C30" i="46"/>
  <c r="C29" i="46" s="1"/>
  <c r="D16" i="43" s="1"/>
  <c r="H42" i="40"/>
  <c r="D318" i="34"/>
  <c r="E127" i="29"/>
  <c r="F127" i="29" s="1"/>
  <c r="F44" i="36"/>
  <c r="C42" i="50" s="1"/>
  <c r="H92" i="63" s="1"/>
  <c r="D100" i="12"/>
  <c r="F72" i="36"/>
  <c r="H41" i="40"/>
  <c r="F67" i="36"/>
  <c r="C145" i="12"/>
  <c r="D145" i="12" s="1"/>
  <c r="F145" i="12" s="1"/>
  <c r="H31" i="40"/>
  <c r="C68" i="46" s="1"/>
  <c r="D92" i="12"/>
  <c r="F47" i="36"/>
  <c r="C27" i="34"/>
  <c r="H129" i="6"/>
  <c r="C294" i="34"/>
  <c r="D298" i="34"/>
  <c r="C10" i="46"/>
  <c r="C116" i="46" s="1"/>
  <c r="H9" i="42"/>
  <c r="D126" i="12"/>
  <c r="I78" i="6"/>
  <c r="L79" i="6" s="1"/>
  <c r="L80" i="6" s="1"/>
  <c r="E81" i="6" s="1"/>
  <c r="D153" i="10"/>
  <c r="I153" i="10" s="1"/>
  <c r="C322" i="37" s="1"/>
  <c r="D318" i="37" s="1"/>
  <c r="K119" i="10"/>
  <c r="P120" i="10"/>
  <c r="K120" i="10" s="1"/>
  <c r="D94" i="37"/>
  <c r="E104" i="36" s="1"/>
  <c r="C96" i="37"/>
  <c r="C37" i="46"/>
  <c r="C105" i="46" s="1"/>
  <c r="C26" i="37"/>
  <c r="D27" i="37"/>
  <c r="C149" i="37"/>
  <c r="B170" i="46"/>
  <c r="B29" i="46"/>
  <c r="C16" i="43" s="1"/>
  <c r="F14" i="7"/>
  <c r="D27" i="12"/>
  <c r="F27" i="12" s="1"/>
  <c r="F27" i="29"/>
  <c r="D26" i="48" s="1"/>
  <c r="C106" i="34"/>
  <c r="D343" i="34" s="1"/>
  <c r="D108" i="34"/>
  <c r="D41" i="35"/>
  <c r="K14" i="10"/>
  <c r="K16" i="10" s="1"/>
  <c r="K60" i="10"/>
  <c r="K61" i="10" s="1"/>
  <c r="P61" i="10"/>
  <c r="C20" i="33"/>
  <c r="D27" i="33" s="1"/>
  <c r="C57" i="34" s="1"/>
  <c r="D7" i="29" s="1"/>
  <c r="D321" i="37"/>
  <c r="D193" i="37"/>
  <c r="C206" i="34"/>
  <c r="B39" i="46"/>
  <c r="B140" i="46" s="1"/>
  <c r="D116" i="12"/>
  <c r="F144" i="29"/>
  <c r="D143" i="48" s="1"/>
  <c r="J895" i="63" l="1"/>
  <c r="J315" i="63"/>
  <c r="J314" i="63" s="1"/>
  <c r="K315" i="63"/>
  <c r="K314" i="63" s="1"/>
  <c r="D97" i="35"/>
  <c r="E97" i="35" s="1"/>
  <c r="D100" i="35"/>
  <c r="E100" i="35" s="1"/>
  <c r="D95" i="35"/>
  <c r="E95" i="35" s="1"/>
  <c r="D89" i="35"/>
  <c r="E89" i="35" s="1"/>
  <c r="D113" i="35"/>
  <c r="E113" i="35" s="1"/>
  <c r="L473" i="63"/>
  <c r="K473" i="63" s="1"/>
  <c r="L467" i="63"/>
  <c r="J467" i="63" s="1"/>
  <c r="E103" i="35"/>
  <c r="L461" i="63"/>
  <c r="E101" i="35"/>
  <c r="L446" i="63"/>
  <c r="K446" i="63" s="1"/>
  <c r="E99" i="35"/>
  <c r="L462" i="63"/>
  <c r="K462" i="63" s="1"/>
  <c r="E104" i="35"/>
  <c r="L275" i="63"/>
  <c r="K275" i="63" s="1"/>
  <c r="D75" i="35"/>
  <c r="E75" i="35" s="1"/>
  <c r="L448" i="63"/>
  <c r="E98" i="35"/>
  <c r="L310" i="63"/>
  <c r="K310" i="63" s="1"/>
  <c r="D84" i="35"/>
  <c r="E84" i="35" s="1"/>
  <c r="L364" i="63"/>
  <c r="J364" i="63" s="1"/>
  <c r="D78" i="35"/>
  <c r="E78" i="35" s="1"/>
  <c r="L295" i="63"/>
  <c r="K295" i="63" s="1"/>
  <c r="D82" i="35"/>
  <c r="E82" i="35" s="1"/>
  <c r="L277" i="63"/>
  <c r="K277" i="63" s="1"/>
  <c r="D87" i="35"/>
  <c r="E87" i="35" s="1"/>
  <c r="L554" i="63"/>
  <c r="J554" i="63" s="1"/>
  <c r="E117" i="35"/>
  <c r="L309" i="63"/>
  <c r="J309" i="63" s="1"/>
  <c r="D74" i="35"/>
  <c r="E74" i="35" s="1"/>
  <c r="D19" i="40"/>
  <c r="C30" i="48"/>
  <c r="E93" i="35"/>
  <c r="E112" i="35"/>
  <c r="H560" i="63"/>
  <c r="H925" i="63" s="1"/>
  <c r="L563" i="63"/>
  <c r="K563" i="63" s="1"/>
  <c r="L311" i="63"/>
  <c r="K311" i="63" s="1"/>
  <c r="L459" i="63"/>
  <c r="J459" i="63" s="1"/>
  <c r="L452" i="63"/>
  <c r="C24" i="46"/>
  <c r="L445" i="63"/>
  <c r="K445" i="63" s="1"/>
  <c r="E61" i="50"/>
  <c r="L166" i="63" s="1"/>
  <c r="H166" i="63"/>
  <c r="E32" i="50"/>
  <c r="L81" i="63" s="1"/>
  <c r="H81" i="63"/>
  <c r="E29" i="50"/>
  <c r="Q37" i="51"/>
  <c r="L300" i="63"/>
  <c r="L297" i="63" s="1"/>
  <c r="Q47" i="51"/>
  <c r="L286" i="63"/>
  <c r="L285" i="63" s="1"/>
  <c r="I891" i="63" s="1"/>
  <c r="E42" i="50"/>
  <c r="L92" i="63" s="1"/>
  <c r="J92" i="63" s="1"/>
  <c r="H96" i="63"/>
  <c r="H89" i="63" s="1"/>
  <c r="H88" i="63" s="1"/>
  <c r="H864" i="63" s="1"/>
  <c r="E44" i="50"/>
  <c r="H71" i="63"/>
  <c r="E75" i="50"/>
  <c r="H211" i="63"/>
  <c r="H262" i="63"/>
  <c r="H308" i="63"/>
  <c r="H894" i="63" s="1"/>
  <c r="E46" i="50"/>
  <c r="L69" i="63" s="1"/>
  <c r="H69" i="63"/>
  <c r="L263" i="63"/>
  <c r="L262" i="63" s="1"/>
  <c r="J98" i="63"/>
  <c r="K98" i="63"/>
  <c r="K461" i="63"/>
  <c r="J461" i="63"/>
  <c r="H297" i="63"/>
  <c r="J448" i="63"/>
  <c r="K448" i="63"/>
  <c r="H285" i="63"/>
  <c r="H891" i="63" s="1"/>
  <c r="C142" i="48"/>
  <c r="C145" i="50"/>
  <c r="B187" i="12"/>
  <c r="E19" i="50"/>
  <c r="L74" i="63" s="1"/>
  <c r="L72" i="63" s="1"/>
  <c r="I861" i="63" s="1"/>
  <c r="H74" i="63"/>
  <c r="E17" i="50"/>
  <c r="K16" i="63"/>
  <c r="J16" i="63"/>
  <c r="XFC494" i="57"/>
  <c r="L495" i="57"/>
  <c r="C61" i="12"/>
  <c r="D61" i="12" s="1"/>
  <c r="C14" i="40"/>
  <c r="Q35" i="51"/>
  <c r="E148" i="50"/>
  <c r="J944" i="63"/>
  <c r="D124" i="12"/>
  <c r="E108" i="50"/>
  <c r="C71" i="48"/>
  <c r="C41" i="40" s="1"/>
  <c r="C71" i="50"/>
  <c r="E10" i="50"/>
  <c r="L18" i="63" s="1"/>
  <c r="E93" i="50"/>
  <c r="D79" i="35" s="1"/>
  <c r="E79" i="35" s="1"/>
  <c r="E41" i="50"/>
  <c r="E37" i="50"/>
  <c r="E48" i="50"/>
  <c r="E9" i="59"/>
  <c r="G27" i="8"/>
  <c r="C66" i="48"/>
  <c r="C65" i="50"/>
  <c r="C16" i="48"/>
  <c r="C16" i="40" s="1"/>
  <c r="G16" i="40" s="1"/>
  <c r="B101" i="46" s="1"/>
  <c r="C15" i="50"/>
  <c r="E54" i="50"/>
  <c r="C46" i="48"/>
  <c r="C45" i="50"/>
  <c r="C14" i="48"/>
  <c r="C24" i="40" s="1"/>
  <c r="C13" i="50"/>
  <c r="C48" i="48"/>
  <c r="C47" i="50"/>
  <c r="H108" i="63" s="1"/>
  <c r="C143" i="48"/>
  <c r="C146" i="50"/>
  <c r="C50" i="48"/>
  <c r="C49" i="50"/>
  <c r="C31" i="48"/>
  <c r="C30" i="50"/>
  <c r="E30" i="50" s="1"/>
  <c r="C25" i="48"/>
  <c r="C24" i="50"/>
  <c r="C36" i="48"/>
  <c r="C35" i="50"/>
  <c r="E35" i="50" s="1"/>
  <c r="C109" i="48"/>
  <c r="C112" i="50"/>
  <c r="D98" i="12"/>
  <c r="B212" i="12"/>
  <c r="C55" i="48"/>
  <c r="B190" i="12"/>
  <c r="C33" i="48"/>
  <c r="B192" i="12"/>
  <c r="C35" i="48"/>
  <c r="B195" i="12"/>
  <c r="C38" i="48"/>
  <c r="B202" i="12"/>
  <c r="C45" i="48"/>
  <c r="B216" i="12"/>
  <c r="C59" i="48"/>
  <c r="B206" i="12"/>
  <c r="C49" i="48"/>
  <c r="B200" i="12"/>
  <c r="C43" i="48"/>
  <c r="C21" i="40" s="1"/>
  <c r="B199" i="12"/>
  <c r="C42" i="48"/>
  <c r="B175" i="12"/>
  <c r="C18" i="48"/>
  <c r="B177" i="12"/>
  <c r="C20" i="48"/>
  <c r="B214" i="12"/>
  <c r="C57" i="48"/>
  <c r="C45" i="35"/>
  <c r="D126" i="48"/>
  <c r="C11" i="46" s="1"/>
  <c r="B198" i="12"/>
  <c r="C41" i="48"/>
  <c r="B219" i="12"/>
  <c r="C62" i="48"/>
  <c r="E65" i="36"/>
  <c r="B223" i="12"/>
  <c r="B193" i="12"/>
  <c r="B173" i="12"/>
  <c r="B188" i="12"/>
  <c r="B182" i="12"/>
  <c r="B171" i="12"/>
  <c r="B203" i="12"/>
  <c r="B207" i="12"/>
  <c r="B205" i="12"/>
  <c r="F142" i="36"/>
  <c r="C94" i="35"/>
  <c r="C27" i="37"/>
  <c r="C319" i="37"/>
  <c r="D65" i="36" s="1"/>
  <c r="E127" i="36"/>
  <c r="E142" i="36"/>
  <c r="C344" i="34"/>
  <c r="D104" i="29" s="1"/>
  <c r="E143" i="29"/>
  <c r="E142" i="29" s="1"/>
  <c r="D114" i="12"/>
  <c r="D57" i="36"/>
  <c r="F57" i="36" s="1"/>
  <c r="C55" i="50" s="1"/>
  <c r="F108" i="36"/>
  <c r="D127" i="12"/>
  <c r="D97" i="12"/>
  <c r="D96" i="12"/>
  <c r="E78" i="6"/>
  <c r="D88" i="6" s="1"/>
  <c r="D87" i="34" s="1"/>
  <c r="D138" i="12"/>
  <c r="C66" i="37"/>
  <c r="D122" i="36" s="1"/>
  <c r="F122" i="36" s="1"/>
  <c r="D71" i="37"/>
  <c r="F20" i="36"/>
  <c r="B105" i="12"/>
  <c r="C105" i="12" s="1"/>
  <c r="D105" i="12" s="1"/>
  <c r="F105" i="12" s="1"/>
  <c r="C27" i="36"/>
  <c r="F27" i="36" s="1"/>
  <c r="C25" i="50" s="1"/>
  <c r="D136" i="12"/>
  <c r="C141" i="12"/>
  <c r="D141" i="12" s="1"/>
  <c r="C112" i="12"/>
  <c r="D112" i="12" s="1"/>
  <c r="C99" i="12"/>
  <c r="D99" i="12" s="1"/>
  <c r="D28" i="29"/>
  <c r="F28" i="29" s="1"/>
  <c r="D27" i="48" s="1"/>
  <c r="D29" i="29"/>
  <c r="F29" i="29" s="1"/>
  <c r="D28" i="48" s="1"/>
  <c r="C108" i="34"/>
  <c r="K121" i="10"/>
  <c r="D113" i="12"/>
  <c r="F35" i="36"/>
  <c r="C33" i="50" s="1"/>
  <c r="D356" i="37"/>
  <c r="D115" i="12"/>
  <c r="C170" i="46"/>
  <c r="C168" i="46" s="1"/>
  <c r="D33" i="43" s="1"/>
  <c r="B153" i="47" s="1"/>
  <c r="B154" i="47" s="1"/>
  <c r="D17" i="41"/>
  <c r="B152" i="47" s="1"/>
  <c r="C99" i="46"/>
  <c r="D30" i="43" s="1"/>
  <c r="H21" i="40"/>
  <c r="C148" i="46" s="1"/>
  <c r="D117" i="12"/>
  <c r="F40" i="36"/>
  <c r="C38" i="50" s="1"/>
  <c r="E38" i="50" s="1"/>
  <c r="F41" i="36"/>
  <c r="D118" i="12"/>
  <c r="D37" i="35"/>
  <c r="F18" i="36"/>
  <c r="C16" i="50" s="1"/>
  <c r="I157" i="10"/>
  <c r="C298" i="34"/>
  <c r="Q115" i="10"/>
  <c r="L55" i="10"/>
  <c r="M55" i="10" s="1"/>
  <c r="D62" i="12"/>
  <c r="C356" i="37"/>
  <c r="F38" i="36"/>
  <c r="C36" i="50" s="1"/>
  <c r="P121" i="10"/>
  <c r="D96" i="37"/>
  <c r="C197" i="34"/>
  <c r="D196" i="34"/>
  <c r="B168" i="46"/>
  <c r="C33" i="43" s="1"/>
  <c r="B156" i="47" s="1"/>
  <c r="C39" i="46"/>
  <c r="D42" i="35"/>
  <c r="D20" i="33"/>
  <c r="D142" i="29"/>
  <c r="D58" i="34"/>
  <c r="E91" i="29" s="1"/>
  <c r="D323" i="37"/>
  <c r="D144" i="12"/>
  <c r="F144" i="12" s="1"/>
  <c r="C195" i="37"/>
  <c r="D127" i="36" s="1"/>
  <c r="D196" i="37"/>
  <c r="F33" i="12"/>
  <c r="H27" i="8"/>
  <c r="C323" i="37"/>
  <c r="D16" i="12"/>
  <c r="F16" i="12" s="1"/>
  <c r="K467" i="63" l="1"/>
  <c r="J295" i="63"/>
  <c r="J563" i="63"/>
  <c r="J275" i="63"/>
  <c r="K364" i="63"/>
  <c r="J462" i="63"/>
  <c r="J473" i="63"/>
  <c r="K309" i="63"/>
  <c r="J446" i="63"/>
  <c r="K554" i="63"/>
  <c r="D90" i="35"/>
  <c r="E90" i="35" s="1"/>
  <c r="J310" i="63"/>
  <c r="J277" i="63"/>
  <c r="K459" i="63"/>
  <c r="J968" i="63"/>
  <c r="J958" i="63"/>
  <c r="K92" i="63"/>
  <c r="E55" i="50"/>
  <c r="L151" i="63" s="1"/>
  <c r="H151" i="63"/>
  <c r="J311" i="63"/>
  <c r="K452" i="63"/>
  <c r="J452" i="63"/>
  <c r="H21" i="63"/>
  <c r="L564" i="63"/>
  <c r="K564" i="63" s="1"/>
  <c r="K560" i="63" s="1"/>
  <c r="L312" i="63"/>
  <c r="H159" i="63"/>
  <c r="H157" i="63" s="1"/>
  <c r="H873" i="63" s="1"/>
  <c r="E65" i="50"/>
  <c r="L159" i="63" s="1"/>
  <c r="L157" i="63" s="1"/>
  <c r="I873" i="63" s="1"/>
  <c r="L71" i="63"/>
  <c r="K71" i="63" s="1"/>
  <c r="L68" i="63"/>
  <c r="H130" i="6"/>
  <c r="H131" i="6" s="1"/>
  <c r="J445" i="63"/>
  <c r="K300" i="63"/>
  <c r="K297" i="63" s="1"/>
  <c r="J300" i="63"/>
  <c r="J297" i="63" s="1"/>
  <c r="J286" i="63"/>
  <c r="J285" i="63" s="1"/>
  <c r="D13" i="41"/>
  <c r="K286" i="63"/>
  <c r="K285" i="63" s="1"/>
  <c r="M285" i="63"/>
  <c r="J69" i="63"/>
  <c r="K69" i="63"/>
  <c r="H261" i="63"/>
  <c r="H890" i="63"/>
  <c r="H144" i="63"/>
  <c r="Q28" i="51"/>
  <c r="L96" i="63"/>
  <c r="L89" i="63" s="1"/>
  <c r="L88" i="63" s="1"/>
  <c r="I864" i="63" s="1"/>
  <c r="J864" i="63" s="1"/>
  <c r="H79" i="63"/>
  <c r="K166" i="63"/>
  <c r="J166" i="63"/>
  <c r="E33" i="50"/>
  <c r="L84" i="63" s="1"/>
  <c r="H84" i="63"/>
  <c r="E112" i="50"/>
  <c r="D94" i="35" s="1"/>
  <c r="H440" i="63"/>
  <c r="E24" i="50"/>
  <c r="L58" i="63" s="1"/>
  <c r="H58" i="63"/>
  <c r="E49" i="50"/>
  <c r="H77" i="63"/>
  <c r="H72" i="63" s="1"/>
  <c r="H861" i="63" s="1"/>
  <c r="J861" i="63" s="1"/>
  <c r="E47" i="50"/>
  <c r="H109" i="63"/>
  <c r="E45" i="50"/>
  <c r="L70" i="63" s="1"/>
  <c r="H70" i="63"/>
  <c r="J263" i="63"/>
  <c r="L79" i="63"/>
  <c r="I890" i="63"/>
  <c r="L261" i="63"/>
  <c r="M261" i="63" s="1"/>
  <c r="J891" i="63"/>
  <c r="K81" i="63"/>
  <c r="J81" i="63"/>
  <c r="E36" i="50"/>
  <c r="E25" i="50"/>
  <c r="L61" i="63" s="1"/>
  <c r="H61" i="63"/>
  <c r="L144" i="63"/>
  <c r="E71" i="50"/>
  <c r="H203" i="63"/>
  <c r="K263" i="63"/>
  <c r="K262" i="63" s="1"/>
  <c r="M262" i="63"/>
  <c r="C152" i="50"/>
  <c r="K74" i="63"/>
  <c r="K72" i="63" s="1"/>
  <c r="J74" i="63"/>
  <c r="K18" i="63"/>
  <c r="J18" i="63"/>
  <c r="E16" i="50"/>
  <c r="H35" i="63"/>
  <c r="E13" i="50"/>
  <c r="L15" i="63" s="1"/>
  <c r="H15" i="63"/>
  <c r="L496" i="57"/>
  <c r="XFC495" i="57"/>
  <c r="H13" i="40"/>
  <c r="C87" i="46" s="1"/>
  <c r="D12" i="40"/>
  <c r="C20" i="40"/>
  <c r="G20" i="40" s="1"/>
  <c r="B139" i="46" s="1"/>
  <c r="C30" i="40"/>
  <c r="G30" i="40" s="1"/>
  <c r="B103" i="46" s="1"/>
  <c r="J970" i="63"/>
  <c r="F127" i="36"/>
  <c r="C129" i="50" s="1"/>
  <c r="G5" i="59"/>
  <c r="G6" i="59"/>
  <c r="C40" i="48"/>
  <c r="C39" i="50"/>
  <c r="E39" i="50" s="1"/>
  <c r="C121" i="48"/>
  <c r="C124" i="50"/>
  <c r="E146" i="50"/>
  <c r="E145" i="50" s="1"/>
  <c r="D152" i="50" s="1"/>
  <c r="C19" i="48"/>
  <c r="G15" i="40" s="1"/>
  <c r="B102" i="46" s="1"/>
  <c r="C18" i="50"/>
  <c r="C107" i="48"/>
  <c r="C110" i="50"/>
  <c r="I77" i="8"/>
  <c r="B194" i="12"/>
  <c r="C37" i="48"/>
  <c r="B174" i="12"/>
  <c r="C17" i="48"/>
  <c r="B183" i="12"/>
  <c r="C26" i="48"/>
  <c r="B213" i="12"/>
  <c r="C56" i="48"/>
  <c r="B196" i="12"/>
  <c r="C39" i="48"/>
  <c r="B191" i="12"/>
  <c r="C34" i="48"/>
  <c r="B197" i="12"/>
  <c r="B176" i="12"/>
  <c r="F143" i="29"/>
  <c r="C106" i="35"/>
  <c r="C92" i="35"/>
  <c r="C89" i="34"/>
  <c r="D25" i="29" s="1"/>
  <c r="D132" i="6"/>
  <c r="D77" i="37" s="1"/>
  <c r="E95" i="29"/>
  <c r="F121" i="36"/>
  <c r="C123" i="50" s="1"/>
  <c r="C71" i="37"/>
  <c r="B107" i="12"/>
  <c r="D107" i="12" s="1"/>
  <c r="F107" i="12" s="1"/>
  <c r="C29" i="36"/>
  <c r="F29" i="36" s="1"/>
  <c r="C27" i="50" s="1"/>
  <c r="B106" i="12"/>
  <c r="C106" i="12" s="1"/>
  <c r="D106" i="12" s="1"/>
  <c r="F106" i="12" s="1"/>
  <c r="C28" i="36"/>
  <c r="F28" i="36" s="1"/>
  <c r="C26" i="50" s="1"/>
  <c r="D95" i="29"/>
  <c r="D89" i="34"/>
  <c r="H19" i="40"/>
  <c r="C112" i="46" s="1"/>
  <c r="D23" i="29"/>
  <c r="F23" i="29" s="1"/>
  <c r="D22" i="48" s="1"/>
  <c r="D10" i="40" s="1"/>
  <c r="G21" i="40"/>
  <c r="B148" i="46" s="1"/>
  <c r="Q10" i="10"/>
  <c r="R10" i="10" s="1"/>
  <c r="C36" i="46"/>
  <c r="C79" i="46" s="1"/>
  <c r="D8" i="41"/>
  <c r="L10" i="10"/>
  <c r="M10" i="10" s="1"/>
  <c r="L11" i="10" s="1"/>
  <c r="Q55" i="10"/>
  <c r="W55" i="10" s="1"/>
  <c r="L115" i="10"/>
  <c r="M115" i="10" s="1"/>
  <c r="L116" i="10" s="1"/>
  <c r="D16" i="41"/>
  <c r="E103" i="36"/>
  <c r="F104" i="36"/>
  <c r="E94" i="29"/>
  <c r="F94" i="29" s="1"/>
  <c r="D24" i="29"/>
  <c r="F24" i="29" s="1"/>
  <c r="D197" i="34"/>
  <c r="C140" i="46"/>
  <c r="B12" i="46"/>
  <c r="B117" i="46" s="1"/>
  <c r="C10" i="41"/>
  <c r="C15" i="43"/>
  <c r="B25" i="46"/>
  <c r="B157" i="47"/>
  <c r="C157" i="47" s="1"/>
  <c r="C12" i="46"/>
  <c r="C9" i="46" s="1"/>
  <c r="D13" i="43" s="1"/>
  <c r="D10" i="41"/>
  <c r="C149" i="46"/>
  <c r="C147" i="46" s="1"/>
  <c r="R115" i="10"/>
  <c r="L56" i="10"/>
  <c r="M56" i="10" s="1"/>
  <c r="F91" i="29"/>
  <c r="F66" i="36"/>
  <c r="C64" i="50" s="1"/>
  <c r="F118" i="36"/>
  <c r="C120" i="50" s="1"/>
  <c r="H35" i="40"/>
  <c r="F104" i="29"/>
  <c r="F126" i="36"/>
  <c r="C128" i="50" s="1"/>
  <c r="E128" i="50" s="1"/>
  <c r="D110" i="35" s="1"/>
  <c r="C196" i="37"/>
  <c r="F10" i="29"/>
  <c r="D9" i="48" s="1"/>
  <c r="C94" i="12"/>
  <c r="D94" i="12" s="1"/>
  <c r="F94" i="12" s="1"/>
  <c r="C21" i="33"/>
  <c r="D30" i="33" s="1"/>
  <c r="C51" i="37" s="1"/>
  <c r="J262" i="63" l="1"/>
  <c r="L440" i="63"/>
  <c r="L439" i="63" s="1"/>
  <c r="I914" i="63" s="1"/>
  <c r="E94" i="35"/>
  <c r="L560" i="63"/>
  <c r="I925" i="63" s="1"/>
  <c r="J925" i="63" s="1"/>
  <c r="J564" i="63"/>
  <c r="J560" i="63" s="1"/>
  <c r="L67" i="63"/>
  <c r="I860" i="63" s="1"/>
  <c r="H119" i="63"/>
  <c r="J71" i="63"/>
  <c r="H178" i="63"/>
  <c r="J178" i="63" s="1"/>
  <c r="E64" i="50"/>
  <c r="L109" i="63"/>
  <c r="K109" i="63" s="1"/>
  <c r="L108" i="63"/>
  <c r="E129" i="50"/>
  <c r="D111" i="35" s="1"/>
  <c r="L308" i="63"/>
  <c r="I894" i="63" s="1"/>
  <c r="J894" i="63" s="1"/>
  <c r="K312" i="63"/>
  <c r="K308" i="63" s="1"/>
  <c r="J312" i="63"/>
  <c r="J308" i="63" s="1"/>
  <c r="J151" i="63"/>
  <c r="K151" i="63"/>
  <c r="J68" i="63"/>
  <c r="K68" i="63"/>
  <c r="K261" i="63"/>
  <c r="J873" i="63"/>
  <c r="G978" i="63" s="1"/>
  <c r="J261" i="63"/>
  <c r="J96" i="63"/>
  <c r="J89" i="63" s="1"/>
  <c r="J88" i="63" s="1"/>
  <c r="K96" i="63"/>
  <c r="K89" i="63" s="1"/>
  <c r="K88" i="63" s="1"/>
  <c r="Q30" i="51"/>
  <c r="M88" i="63"/>
  <c r="D23" i="48"/>
  <c r="F969" i="63"/>
  <c r="F949" i="63"/>
  <c r="G969" i="63"/>
  <c r="G949" i="63"/>
  <c r="E120" i="50"/>
  <c r="D102" i="35" s="1"/>
  <c r="H466" i="63"/>
  <c r="E26" i="50"/>
  <c r="H125" i="63"/>
  <c r="H86" i="63"/>
  <c r="K159" i="63"/>
  <c r="K157" i="63" s="1"/>
  <c r="K70" i="63"/>
  <c r="J70" i="63"/>
  <c r="J77" i="63"/>
  <c r="J72" i="63" s="1"/>
  <c r="H862" i="63"/>
  <c r="J862" i="63" s="1"/>
  <c r="H439" i="63"/>
  <c r="E124" i="50"/>
  <c r="E123" i="50"/>
  <c r="D105" i="35" s="1"/>
  <c r="H449" i="63"/>
  <c r="L86" i="63"/>
  <c r="L78" i="63" s="1"/>
  <c r="I863" i="63" s="1"/>
  <c r="J159" i="63"/>
  <c r="J157" i="63" s="1"/>
  <c r="Q31" i="51"/>
  <c r="J144" i="63"/>
  <c r="K144" i="63"/>
  <c r="K61" i="63"/>
  <c r="J61" i="63"/>
  <c r="H107" i="63"/>
  <c r="H865" i="63" s="1"/>
  <c r="J58" i="63"/>
  <c r="K58" i="63"/>
  <c r="J84" i="63"/>
  <c r="K84" i="63"/>
  <c r="K79" i="63"/>
  <c r="J79" i="63"/>
  <c r="J890" i="63"/>
  <c r="H67" i="63"/>
  <c r="H860" i="63" s="1"/>
  <c r="C111" i="35"/>
  <c r="E111" i="35" s="1"/>
  <c r="E152" i="50"/>
  <c r="C126" i="48"/>
  <c r="B11" i="46" s="1"/>
  <c r="B149" i="46" s="1"/>
  <c r="B147" i="46" s="1"/>
  <c r="E18" i="50"/>
  <c r="L44" i="63" s="1"/>
  <c r="H44" i="63"/>
  <c r="L35" i="63"/>
  <c r="K15" i="63"/>
  <c r="H10" i="63"/>
  <c r="H9" i="63" s="1"/>
  <c r="H857" i="63" s="1"/>
  <c r="J15" i="63"/>
  <c r="L497" i="57"/>
  <c r="XFC496" i="57"/>
  <c r="D80" i="37"/>
  <c r="E95" i="36"/>
  <c r="F95" i="36" s="1"/>
  <c r="C79" i="37"/>
  <c r="C19" i="40"/>
  <c r="G19" i="40" s="1"/>
  <c r="B112" i="46" s="1"/>
  <c r="G24" i="40"/>
  <c r="C32" i="43" s="1"/>
  <c r="C103" i="48"/>
  <c r="C106" i="50"/>
  <c r="H376" i="63" s="1"/>
  <c r="E27" i="50"/>
  <c r="E15" i="50"/>
  <c r="E110" i="50"/>
  <c r="F142" i="29"/>
  <c r="D142" i="48"/>
  <c r="D141" i="48" s="1"/>
  <c r="C110" i="35"/>
  <c r="C125" i="48"/>
  <c r="B222" i="12"/>
  <c r="C65" i="48"/>
  <c r="C31" i="40" s="1"/>
  <c r="G31" i="40" s="1"/>
  <c r="B68" i="46" s="1"/>
  <c r="B184" i="12"/>
  <c r="C27" i="48"/>
  <c r="C12" i="35"/>
  <c r="D90" i="48"/>
  <c r="B185" i="12"/>
  <c r="C28" i="48"/>
  <c r="C102" i="35"/>
  <c r="C117" i="48"/>
  <c r="C23" i="35"/>
  <c r="D23" i="35" s="1"/>
  <c r="D103" i="48"/>
  <c r="C15" i="35"/>
  <c r="D93" i="48"/>
  <c r="C105" i="35"/>
  <c r="C120" i="48"/>
  <c r="D7" i="36"/>
  <c r="D10" i="36"/>
  <c r="C88" i="35"/>
  <c r="C90" i="34"/>
  <c r="B88" i="12"/>
  <c r="C10" i="36"/>
  <c r="B101" i="12"/>
  <c r="C101" i="12" s="1"/>
  <c r="D101" i="12" s="1"/>
  <c r="C23" i="36"/>
  <c r="B102" i="12"/>
  <c r="C102" i="12" s="1"/>
  <c r="D102" i="12" s="1"/>
  <c r="C24" i="36"/>
  <c r="W115" i="10"/>
  <c r="D90" i="34"/>
  <c r="E25" i="29"/>
  <c r="F25" i="29" s="1"/>
  <c r="D24" i="48" s="1"/>
  <c r="H22" i="40" s="1"/>
  <c r="C141" i="46" s="1"/>
  <c r="C138" i="46" s="1"/>
  <c r="R55" i="10"/>
  <c r="Q56" i="10" s="1"/>
  <c r="W56" i="10" s="1"/>
  <c r="W10" i="10"/>
  <c r="M116" i="10"/>
  <c r="L117" i="10" s="1"/>
  <c r="M11" i="10"/>
  <c r="L12" i="10" s="1"/>
  <c r="F95" i="29"/>
  <c r="D85" i="29"/>
  <c r="D25" i="40"/>
  <c r="D64" i="29"/>
  <c r="F64" i="29" s="1"/>
  <c r="D63" i="48" s="1"/>
  <c r="D28" i="40" s="1"/>
  <c r="E85" i="29"/>
  <c r="D52" i="29"/>
  <c r="E110" i="29"/>
  <c r="C35" i="46"/>
  <c r="D17" i="43" s="1"/>
  <c r="H12" i="40"/>
  <c r="B84" i="47"/>
  <c r="B93" i="47" s="1"/>
  <c r="C95" i="47"/>
  <c r="B129" i="46"/>
  <c r="B128" i="46" s="1"/>
  <c r="C31" i="43" s="1"/>
  <c r="F116" i="46"/>
  <c r="F114" i="46" s="1"/>
  <c r="B24" i="46"/>
  <c r="F16" i="42"/>
  <c r="D31" i="41"/>
  <c r="C117" i="46"/>
  <c r="C111" i="46" s="1"/>
  <c r="C69" i="46"/>
  <c r="C67" i="46" s="1"/>
  <c r="D24" i="43" s="1"/>
  <c r="L57" i="10"/>
  <c r="M57" i="10" s="1"/>
  <c r="Q116" i="10"/>
  <c r="R116" i="10" s="1"/>
  <c r="D21" i="33"/>
  <c r="C22" i="33" s="1"/>
  <c r="D22" i="33" s="1"/>
  <c r="C23" i="33" s="1"/>
  <c r="Q11" i="10"/>
  <c r="R11" i="10" s="1"/>
  <c r="D52" i="37"/>
  <c r="E91" i="36" s="1"/>
  <c r="C141" i="48"/>
  <c r="J440" i="63" l="1"/>
  <c r="J439" i="63" s="1"/>
  <c r="K440" i="63"/>
  <c r="K439" i="63" s="1"/>
  <c r="D92" i="35"/>
  <c r="E92" i="35" s="1"/>
  <c r="D106" i="35"/>
  <c r="E106" i="35" s="1"/>
  <c r="L449" i="63"/>
  <c r="J449" i="63" s="1"/>
  <c r="L466" i="63"/>
  <c r="K466" i="63" s="1"/>
  <c r="G958" i="63"/>
  <c r="F958" i="63"/>
  <c r="J860" i="63"/>
  <c r="J67" i="63"/>
  <c r="E110" i="35"/>
  <c r="E105" i="35"/>
  <c r="E102" i="35"/>
  <c r="K67" i="63"/>
  <c r="L107" i="63"/>
  <c r="I865" i="63" s="1"/>
  <c r="J865" i="63" s="1"/>
  <c r="G970" i="63" s="1"/>
  <c r="J109" i="63"/>
  <c r="L119" i="63"/>
  <c r="J108" i="63"/>
  <c r="K108" i="63"/>
  <c r="K107" i="63" s="1"/>
  <c r="F978" i="63"/>
  <c r="H978" i="63" s="1"/>
  <c r="Q29" i="51"/>
  <c r="H949" i="63"/>
  <c r="H906" i="63"/>
  <c r="H375" i="63"/>
  <c r="H436" i="63" s="1"/>
  <c r="H914" i="63"/>
  <c r="H78" i="63"/>
  <c r="H863" i="63" s="1"/>
  <c r="J863" i="63" s="1"/>
  <c r="K86" i="63"/>
  <c r="K78" i="63" s="1"/>
  <c r="J86" i="63"/>
  <c r="J78" i="63" s="1"/>
  <c r="H118" i="63"/>
  <c r="H117" i="63" s="1"/>
  <c r="H867" i="63" s="1"/>
  <c r="H969" i="63"/>
  <c r="L125" i="63"/>
  <c r="J44" i="63"/>
  <c r="K44" i="63"/>
  <c r="Q25" i="51"/>
  <c r="L21" i="63"/>
  <c r="J35" i="63"/>
  <c r="K35" i="63"/>
  <c r="XFC497" i="57"/>
  <c r="L498" i="57"/>
  <c r="D25" i="36"/>
  <c r="D52" i="36" s="1"/>
  <c r="C80" i="37"/>
  <c r="C81" i="35"/>
  <c r="C94" i="48"/>
  <c r="C15" i="41" s="1"/>
  <c r="C95" i="50"/>
  <c r="D9" i="40"/>
  <c r="G13" i="40"/>
  <c r="B87" i="46" s="1"/>
  <c r="C12" i="40"/>
  <c r="G12" i="40" s="1"/>
  <c r="B77" i="46" s="1"/>
  <c r="B75" i="46" s="1"/>
  <c r="C23" i="43" s="1"/>
  <c r="D34" i="43"/>
  <c r="D36" i="43" s="1"/>
  <c r="J956" i="63"/>
  <c r="J971" i="63"/>
  <c r="E106" i="50"/>
  <c r="C16" i="35"/>
  <c r="D94" i="48"/>
  <c r="D15" i="41" s="1"/>
  <c r="B142" i="12"/>
  <c r="C142" i="12" s="1"/>
  <c r="D142" i="12" s="1"/>
  <c r="C64" i="36"/>
  <c r="B103" i="12"/>
  <c r="C25" i="36"/>
  <c r="E11" i="10"/>
  <c r="C51" i="2" s="1"/>
  <c r="W11" i="10"/>
  <c r="F85" i="29"/>
  <c r="F110" i="29"/>
  <c r="D109" i="48" s="1"/>
  <c r="E103" i="29"/>
  <c r="E138" i="29" s="1"/>
  <c r="F23" i="36"/>
  <c r="C21" i="50" s="1"/>
  <c r="H45" i="63" s="1"/>
  <c r="H10" i="40"/>
  <c r="C56" i="46" s="1"/>
  <c r="C55" i="46" s="1"/>
  <c r="D21" i="43" s="1"/>
  <c r="W116" i="10"/>
  <c r="C77" i="46"/>
  <c r="C75" i="46" s="1"/>
  <c r="D23" i="43" s="1"/>
  <c r="Q117" i="10"/>
  <c r="R117" i="10" s="1"/>
  <c r="C11" i="10"/>
  <c r="C10" i="10" s="1"/>
  <c r="C53" i="12" s="1"/>
  <c r="Q12" i="10"/>
  <c r="R12" i="10" s="1"/>
  <c r="L58" i="10"/>
  <c r="M58" i="10" s="1"/>
  <c r="E56" i="10"/>
  <c r="M12" i="10"/>
  <c r="R56" i="10"/>
  <c r="M117" i="10"/>
  <c r="C25" i="40"/>
  <c r="D22" i="35"/>
  <c r="C16" i="41"/>
  <c r="F91" i="36"/>
  <c r="C91" i="50" s="1"/>
  <c r="H291" i="63" s="1"/>
  <c r="E85" i="36"/>
  <c r="E138" i="36" s="1"/>
  <c r="D19" i="41"/>
  <c r="D12" i="35"/>
  <c r="D24" i="12"/>
  <c r="C50" i="12"/>
  <c r="C9" i="41"/>
  <c r="C11" i="41" s="1"/>
  <c r="C88" i="12"/>
  <c r="D88" i="12" s="1"/>
  <c r="D23" i="33"/>
  <c r="H958" i="63" l="1"/>
  <c r="M958" i="63" s="1"/>
  <c r="K449" i="63"/>
  <c r="J466" i="63"/>
  <c r="D88" i="35"/>
  <c r="E88" i="35" s="1"/>
  <c r="E10" i="10"/>
  <c r="G950" i="63"/>
  <c r="L118" i="63"/>
  <c r="L117" i="63" s="1"/>
  <c r="I867" i="63" s="1"/>
  <c r="J867" i="63" s="1"/>
  <c r="G971" i="63" s="1"/>
  <c r="F950" i="63"/>
  <c r="F970" i="63"/>
  <c r="H970" i="63" s="1"/>
  <c r="M970" i="63" s="1"/>
  <c r="J119" i="63"/>
  <c r="K119" i="63"/>
  <c r="H341" i="63"/>
  <c r="H332" i="63" s="1"/>
  <c r="H897" i="63" s="1"/>
  <c r="D102" i="50"/>
  <c r="H363" i="63"/>
  <c r="J107" i="63"/>
  <c r="G968" i="63"/>
  <c r="G948" i="63"/>
  <c r="F948" i="63"/>
  <c r="F968" i="63"/>
  <c r="H289" i="63"/>
  <c r="K125" i="63"/>
  <c r="H911" i="63"/>
  <c r="J914" i="63"/>
  <c r="Q50" i="51"/>
  <c r="L376" i="63"/>
  <c r="J125" i="63"/>
  <c r="J118" i="63" s="1"/>
  <c r="J117" i="63" s="1"/>
  <c r="E21" i="50"/>
  <c r="H40" i="63"/>
  <c r="F25" i="36"/>
  <c r="C23" i="50" s="1"/>
  <c r="J21" i="63"/>
  <c r="J10" i="63" s="1"/>
  <c r="J9" i="63" s="1"/>
  <c r="K21" i="63"/>
  <c r="K10" i="63" s="1"/>
  <c r="K9" i="63" s="1"/>
  <c r="L10" i="63"/>
  <c r="L9" i="63" s="1"/>
  <c r="XFC498" i="57"/>
  <c r="L499" i="57"/>
  <c r="C102" i="50"/>
  <c r="B95" i="47"/>
  <c r="B53" i="12"/>
  <c r="E54" i="48"/>
  <c r="E32" i="40" s="1"/>
  <c r="E91" i="50"/>
  <c r="B179" i="12"/>
  <c r="C22" i="48"/>
  <c r="C10" i="40" s="1"/>
  <c r="C77" i="35"/>
  <c r="C90" i="48"/>
  <c r="C55" i="29"/>
  <c r="C183" i="37"/>
  <c r="D64" i="36" s="1"/>
  <c r="F64" i="36" s="1"/>
  <c r="C62" i="50" s="1"/>
  <c r="C29" i="35"/>
  <c r="D29" i="35" s="1"/>
  <c r="D53" i="12"/>
  <c r="D143" i="12"/>
  <c r="D103" i="12"/>
  <c r="F103" i="12" s="1"/>
  <c r="W12" i="10"/>
  <c r="D15" i="35"/>
  <c r="W117" i="10"/>
  <c r="L13" i="10"/>
  <c r="M13" i="10" s="1"/>
  <c r="L14" i="10" s="1"/>
  <c r="M14" i="10" s="1"/>
  <c r="D11" i="10"/>
  <c r="D10" i="10" s="1"/>
  <c r="F24" i="36"/>
  <c r="C22" i="50" s="1"/>
  <c r="D104" i="12"/>
  <c r="F104" i="12" s="1"/>
  <c r="C27" i="47"/>
  <c r="B10" i="46"/>
  <c r="C13" i="41"/>
  <c r="N57" i="10"/>
  <c r="L59" i="10"/>
  <c r="M59" i="10" s="1"/>
  <c r="L60" i="10" s="1"/>
  <c r="M60" i="10" s="1"/>
  <c r="L118" i="10"/>
  <c r="M118" i="10" s="1"/>
  <c r="N116" i="10"/>
  <c r="Q57" i="10"/>
  <c r="R57" i="10" s="1"/>
  <c r="Q118" i="10"/>
  <c r="R118" i="10" s="1"/>
  <c r="C116" i="10" s="1"/>
  <c r="Q13" i="10"/>
  <c r="R13" i="10" s="1"/>
  <c r="E55" i="10"/>
  <c r="F85" i="36"/>
  <c r="L291" i="63" l="1"/>
  <c r="L289" i="63" s="1"/>
  <c r="I892" i="63" s="1"/>
  <c r="D77" i="35"/>
  <c r="E77" i="35" s="1"/>
  <c r="K118" i="63"/>
  <c r="K117" i="63" s="1"/>
  <c r="H950" i="63"/>
  <c r="M117" i="63"/>
  <c r="L40" i="63"/>
  <c r="K40" i="63" s="1"/>
  <c r="L45" i="63"/>
  <c r="H358" i="63"/>
  <c r="H900" i="63" s="1"/>
  <c r="G951" i="63"/>
  <c r="F971" i="63"/>
  <c r="H971" i="63" s="1"/>
  <c r="M971" i="63" s="1"/>
  <c r="F951" i="63"/>
  <c r="H968" i="63"/>
  <c r="M968" i="63" s="1"/>
  <c r="E62" i="50"/>
  <c r="L169" i="63" s="1"/>
  <c r="L168" i="63" s="1"/>
  <c r="I876" i="63" s="1"/>
  <c r="H169" i="63"/>
  <c r="I906" i="63"/>
  <c r="L375" i="63"/>
  <c r="L436" i="63" s="1"/>
  <c r="M436" i="63" s="1"/>
  <c r="K376" i="63"/>
  <c r="K375" i="63" s="1"/>
  <c r="K436" i="63" s="1"/>
  <c r="J376" i="63"/>
  <c r="J375" i="63" s="1"/>
  <c r="J436" i="63" s="1"/>
  <c r="H948" i="63"/>
  <c r="H892" i="63"/>
  <c r="M9" i="63"/>
  <c r="I857" i="63"/>
  <c r="J857" i="63" s="1"/>
  <c r="B181" i="12"/>
  <c r="E22" i="50"/>
  <c r="H48" i="63"/>
  <c r="C24" i="48"/>
  <c r="G22" i="40" s="1"/>
  <c r="B141" i="46" s="1"/>
  <c r="B138" i="46" s="1"/>
  <c r="H33" i="63"/>
  <c r="E95" i="50"/>
  <c r="D81" i="35" s="1"/>
  <c r="E81" i="35" s="1"/>
  <c r="L500" i="57"/>
  <c r="XFC499" i="57"/>
  <c r="Q36" i="51"/>
  <c r="E23" i="50"/>
  <c r="B180" i="12"/>
  <c r="C23" i="48"/>
  <c r="B220" i="12"/>
  <c r="C63" i="48"/>
  <c r="F65" i="36"/>
  <c r="C187" i="37"/>
  <c r="D186" i="37"/>
  <c r="D187" i="37" s="1"/>
  <c r="D66" i="12"/>
  <c r="F53" i="12"/>
  <c r="F66" i="12" s="1"/>
  <c r="L15" i="10"/>
  <c r="M15" i="10" s="1"/>
  <c r="D84" i="48"/>
  <c r="W13" i="10"/>
  <c r="N117" i="10"/>
  <c r="B27" i="47"/>
  <c r="B116" i="46"/>
  <c r="B9" i="46"/>
  <c r="C13" i="43" s="1"/>
  <c r="C31" i="41"/>
  <c r="D12" i="41"/>
  <c r="Q119" i="10"/>
  <c r="R119" i="10" s="1"/>
  <c r="C165" i="34"/>
  <c r="C164" i="34"/>
  <c r="D55" i="29" s="1"/>
  <c r="W57" i="10"/>
  <c r="C155" i="37"/>
  <c r="D132" i="36" s="1"/>
  <c r="F132" i="36" s="1"/>
  <c r="C134" i="50" s="1"/>
  <c r="C154" i="37"/>
  <c r="D55" i="36" s="1"/>
  <c r="W118" i="10"/>
  <c r="C310" i="37" s="1"/>
  <c r="D134" i="36" s="1"/>
  <c r="F134" i="36" s="1"/>
  <c r="C136" i="50" s="1"/>
  <c r="H551" i="63" s="1"/>
  <c r="L119" i="10"/>
  <c r="M119" i="10" s="1"/>
  <c r="Q14" i="10"/>
  <c r="R14" i="10" s="1"/>
  <c r="Q58" i="10"/>
  <c r="W58" i="10" s="1"/>
  <c r="C56" i="10"/>
  <c r="C19" i="41"/>
  <c r="G10" i="40"/>
  <c r="M289" i="63" l="1"/>
  <c r="H373" i="63"/>
  <c r="K291" i="63"/>
  <c r="K289" i="63" s="1"/>
  <c r="J291" i="63"/>
  <c r="J289" i="63" s="1"/>
  <c r="J946" i="63"/>
  <c r="K45" i="63"/>
  <c r="K33" i="63" s="1"/>
  <c r="J45" i="63"/>
  <c r="E102" i="50"/>
  <c r="L363" i="63"/>
  <c r="Q58" i="51"/>
  <c r="J40" i="63"/>
  <c r="H904" i="63"/>
  <c r="L33" i="63"/>
  <c r="H951" i="63"/>
  <c r="E134" i="50"/>
  <c r="D116" i="35" s="1"/>
  <c r="H548" i="63"/>
  <c r="I911" i="63"/>
  <c r="J906" i="63"/>
  <c r="J911" i="63" s="1"/>
  <c r="Q45" i="51"/>
  <c r="Q46" i="51" s="1"/>
  <c r="Q49" i="51" s="1"/>
  <c r="L341" i="63"/>
  <c r="F945" i="63"/>
  <c r="G965" i="63"/>
  <c r="G945" i="63"/>
  <c r="F965" i="63"/>
  <c r="J892" i="63"/>
  <c r="J169" i="63"/>
  <c r="J168" i="63" s="1"/>
  <c r="K169" i="63"/>
  <c r="K168" i="63" s="1"/>
  <c r="H168" i="63"/>
  <c r="H876" i="63" s="1"/>
  <c r="J876" i="63" s="1"/>
  <c r="C9" i="40"/>
  <c r="H46" i="63"/>
  <c r="H32" i="63" s="1"/>
  <c r="H858" i="63" s="1"/>
  <c r="L48" i="63"/>
  <c r="L501" i="57"/>
  <c r="XFC500" i="57"/>
  <c r="C64" i="48"/>
  <c r="C35" i="40" s="1"/>
  <c r="G35" i="40" s="1"/>
  <c r="B69" i="46" s="1"/>
  <c r="B67" i="46" s="1"/>
  <c r="C24" i="43" s="1"/>
  <c r="C63" i="50"/>
  <c r="C118" i="35"/>
  <c r="C133" i="48"/>
  <c r="C116" i="35"/>
  <c r="C131" i="48"/>
  <c r="B221" i="12"/>
  <c r="D309" i="37"/>
  <c r="E55" i="36" s="1"/>
  <c r="Q15" i="10"/>
  <c r="W15" i="10" s="1"/>
  <c r="B56" i="46"/>
  <c r="B55" i="46" s="1"/>
  <c r="C21" i="43" s="1"/>
  <c r="C55" i="10"/>
  <c r="C133" i="12" s="1"/>
  <c r="D56" i="10"/>
  <c r="D55" i="10" s="1"/>
  <c r="W14" i="10"/>
  <c r="C307" i="34"/>
  <c r="D134" i="29" s="1"/>
  <c r="F134" i="29" s="1"/>
  <c r="C167" i="34"/>
  <c r="D166" i="34"/>
  <c r="E7" i="29" s="1"/>
  <c r="Q120" i="10"/>
  <c r="R120" i="10" s="1"/>
  <c r="C157" i="37"/>
  <c r="D156" i="37"/>
  <c r="D157" i="37" s="1"/>
  <c r="N118" i="10"/>
  <c r="L120" i="10"/>
  <c r="M120" i="10" s="1"/>
  <c r="R58" i="10"/>
  <c r="W119" i="10"/>
  <c r="L904" i="63" l="1"/>
  <c r="J33" i="63"/>
  <c r="L548" i="63"/>
  <c r="K548" i="63" s="1"/>
  <c r="E116" i="35"/>
  <c r="L358" i="63"/>
  <c r="I900" i="63" s="1"/>
  <c r="J900" i="63" s="1"/>
  <c r="J363" i="63"/>
  <c r="J358" i="63" s="1"/>
  <c r="K363" i="63"/>
  <c r="K358" i="63" s="1"/>
  <c r="H174" i="63"/>
  <c r="J174" i="63" s="1"/>
  <c r="J173" i="63" s="1"/>
  <c r="H945" i="63"/>
  <c r="H965" i="63"/>
  <c r="L332" i="63"/>
  <c r="J341" i="63"/>
  <c r="J332" i="63" s="1"/>
  <c r="K341" i="63"/>
  <c r="K332" i="63" s="1"/>
  <c r="H545" i="63"/>
  <c r="H923" i="63" s="1"/>
  <c r="G975" i="63"/>
  <c r="G955" i="63"/>
  <c r="F975" i="63"/>
  <c r="F955" i="63"/>
  <c r="L46" i="63"/>
  <c r="L32" i="63" s="1"/>
  <c r="I858" i="63" s="1"/>
  <c r="J858" i="63" s="1"/>
  <c r="J48" i="63"/>
  <c r="J46" i="63" s="1"/>
  <c r="J32" i="63" s="1"/>
  <c r="K48" i="63"/>
  <c r="K46" i="63" s="1"/>
  <c r="K32" i="63" s="1"/>
  <c r="XFC501" i="57"/>
  <c r="L502" i="57"/>
  <c r="E136" i="50"/>
  <c r="C52" i="35"/>
  <c r="D133" i="48"/>
  <c r="R15" i="10"/>
  <c r="W16" i="10"/>
  <c r="D306" i="34"/>
  <c r="E55" i="29" s="1"/>
  <c r="F55" i="29" s="1"/>
  <c r="D54" i="48" s="1"/>
  <c r="D32" i="40" s="1"/>
  <c r="C308" i="34"/>
  <c r="W120" i="10"/>
  <c r="W121" i="10" s="1"/>
  <c r="Q59" i="10"/>
  <c r="W59" i="10" s="1"/>
  <c r="D167" i="34"/>
  <c r="D118" i="35" l="1"/>
  <c r="E118" i="35" s="1"/>
  <c r="J548" i="63"/>
  <c r="J373" i="63"/>
  <c r="H173" i="63"/>
  <c r="H877" i="63" s="1"/>
  <c r="J877" i="63" s="1"/>
  <c r="K373" i="63"/>
  <c r="G966" i="63"/>
  <c r="G946" i="63"/>
  <c r="F966" i="63"/>
  <c r="F946" i="63"/>
  <c r="H975" i="63"/>
  <c r="H931" i="63"/>
  <c r="H955" i="63"/>
  <c r="I897" i="63"/>
  <c r="L373" i="63"/>
  <c r="Q53" i="51"/>
  <c r="L551" i="63"/>
  <c r="XFC502" i="57"/>
  <c r="L503" i="57"/>
  <c r="E63" i="50"/>
  <c r="B133" i="12"/>
  <c r="C55" i="36"/>
  <c r="F7" i="29"/>
  <c r="D6" i="48" s="1"/>
  <c r="D8" i="40" s="1"/>
  <c r="R59" i="10"/>
  <c r="D308" i="34"/>
  <c r="H966" i="63" l="1"/>
  <c r="M373" i="63"/>
  <c r="F976" i="63"/>
  <c r="G956" i="63"/>
  <c r="F956" i="63"/>
  <c r="G976" i="63"/>
  <c r="J897" i="63"/>
  <c r="J904" i="63" s="1"/>
  <c r="I904" i="63"/>
  <c r="H946" i="63"/>
  <c r="M946" i="63" s="1"/>
  <c r="J551" i="63"/>
  <c r="J545" i="63" s="1"/>
  <c r="K551" i="63"/>
  <c r="K545" i="63" s="1"/>
  <c r="L545" i="63"/>
  <c r="L504" i="57"/>
  <c r="XFC503" i="57"/>
  <c r="B85" i="12"/>
  <c r="C7" i="36"/>
  <c r="D132" i="29"/>
  <c r="F132" i="29" s="1"/>
  <c r="Q60" i="10"/>
  <c r="W60" i="10" s="1"/>
  <c r="H956" i="63" l="1"/>
  <c r="M956" i="63" s="1"/>
  <c r="H976" i="63"/>
  <c r="I923" i="63"/>
  <c r="M904" i="63"/>
  <c r="M545" i="63"/>
  <c r="L505" i="57"/>
  <c r="XFC504" i="57"/>
  <c r="C50" i="35"/>
  <c r="D50" i="35" s="1"/>
  <c r="D131" i="48"/>
  <c r="D68" i="29"/>
  <c r="D133" i="12"/>
  <c r="F133" i="12" s="1"/>
  <c r="W61" i="10"/>
  <c r="R60" i="10"/>
  <c r="C7" i="47"/>
  <c r="I931" i="63" l="1"/>
  <c r="J923" i="63"/>
  <c r="J931" i="63" s="1"/>
  <c r="XFC505" i="57"/>
  <c r="L506" i="57"/>
  <c r="D69" i="29"/>
  <c r="F130" i="36"/>
  <c r="C85" i="12"/>
  <c r="C130" i="12" s="1"/>
  <c r="D20" i="41"/>
  <c r="XFC506" i="57" l="1"/>
  <c r="L507" i="57"/>
  <c r="XFC507" i="57" s="1"/>
  <c r="C129" i="48"/>
  <c r="C132" i="50"/>
  <c r="H485" i="63" s="1"/>
  <c r="C114" i="35"/>
  <c r="C311" i="37"/>
  <c r="D311" i="37"/>
  <c r="E115" i="10"/>
  <c r="C115" i="10"/>
  <c r="F55" i="36"/>
  <c r="C53" i="50" s="1"/>
  <c r="E33" i="40"/>
  <c r="D85" i="12"/>
  <c r="C48" i="43"/>
  <c r="D49" i="43"/>
  <c r="D55" i="43" s="1"/>
  <c r="H8" i="40"/>
  <c r="C8" i="47"/>
  <c r="H465" i="63" l="1"/>
  <c r="H916" i="63" s="1"/>
  <c r="E53" i="50"/>
  <c r="L141" i="63" s="1"/>
  <c r="L140" i="63" s="1"/>
  <c r="H141" i="63"/>
  <c r="H140" i="63" s="1"/>
  <c r="H871" i="63" s="1"/>
  <c r="XFC508" i="57"/>
  <c r="K546" i="57"/>
  <c r="M544" i="57" s="1"/>
  <c r="K544" i="57"/>
  <c r="K549" i="57"/>
  <c r="M545" i="57" s="1"/>
  <c r="K554" i="57"/>
  <c r="K541" i="57"/>
  <c r="K542" i="57"/>
  <c r="K552" i="57"/>
  <c r="K555" i="57"/>
  <c r="K548" i="57"/>
  <c r="K545" i="57"/>
  <c r="K553" i="57"/>
  <c r="K550" i="57"/>
  <c r="M541" i="57" s="1"/>
  <c r="K551" i="57"/>
  <c r="K543" i="57"/>
  <c r="K547" i="57"/>
  <c r="E132" i="50"/>
  <c r="D114" i="35" s="1"/>
  <c r="B211" i="12"/>
  <c r="C54" i="48"/>
  <c r="C32" i="40" s="1"/>
  <c r="D115" i="10"/>
  <c r="F131" i="36"/>
  <c r="F10" i="36"/>
  <c r="C8" i="50" s="1"/>
  <c r="L485" i="63" l="1"/>
  <c r="L465" i="63" s="1"/>
  <c r="I916" i="63" s="1"/>
  <c r="J916" i="63" s="1"/>
  <c r="E114" i="35"/>
  <c r="J973" i="63"/>
  <c r="J141" i="63"/>
  <c r="J140" i="63" s="1"/>
  <c r="K141" i="63"/>
  <c r="K140" i="63" s="1"/>
  <c r="J982" i="63"/>
  <c r="I871" i="63"/>
  <c r="M543" i="57"/>
  <c r="M546" i="57"/>
  <c r="M542" i="57"/>
  <c r="K556" i="57"/>
  <c r="E8" i="50"/>
  <c r="C130" i="48"/>
  <c r="C133" i="50"/>
  <c r="H464" i="63" s="1"/>
  <c r="B166" i="12"/>
  <c r="C9" i="48"/>
  <c r="C115" i="35"/>
  <c r="C12" i="41"/>
  <c r="C14" i="41" s="1"/>
  <c r="K485" i="63" l="1"/>
  <c r="K465" i="63" s="1"/>
  <c r="J485" i="63"/>
  <c r="J465" i="63" s="1"/>
  <c r="H444" i="63"/>
  <c r="J871" i="63"/>
  <c r="M547" i="57"/>
  <c r="E133" i="50"/>
  <c r="D115" i="35" s="1"/>
  <c r="C119" i="35"/>
  <c r="C30" i="41"/>
  <c r="C32" i="41" s="1"/>
  <c r="G14" i="41"/>
  <c r="L464" i="63" l="1"/>
  <c r="L444" i="63" s="1"/>
  <c r="I915" i="63" s="1"/>
  <c r="E115" i="35"/>
  <c r="C120" i="35"/>
  <c r="H915" i="63"/>
  <c r="H917" i="63" s="1"/>
  <c r="H932" i="63" s="1"/>
  <c r="H438" i="63"/>
  <c r="H592" i="63" s="1"/>
  <c r="H593" i="63" s="1"/>
  <c r="G973" i="63"/>
  <c r="F953" i="63"/>
  <c r="G953" i="63"/>
  <c r="F973" i="63"/>
  <c r="D140" i="12"/>
  <c r="K464" i="63" l="1"/>
  <c r="K444" i="63" s="1"/>
  <c r="K438" i="63" s="1"/>
  <c r="K592" i="63" s="1"/>
  <c r="K593" i="63" s="1"/>
  <c r="J464" i="63"/>
  <c r="J444" i="63" s="1"/>
  <c r="J438" i="63" s="1"/>
  <c r="J592" i="63" s="1"/>
  <c r="J593" i="63" s="1"/>
  <c r="L438" i="63"/>
  <c r="L592" i="63" s="1"/>
  <c r="L593" i="63" s="1"/>
  <c r="D119" i="35"/>
  <c r="H953" i="63"/>
  <c r="H935" i="63"/>
  <c r="H973" i="63"/>
  <c r="M973" i="63" s="1"/>
  <c r="J915" i="63"/>
  <c r="J917" i="63" s="1"/>
  <c r="J932" i="63" s="1"/>
  <c r="I917" i="63"/>
  <c r="I932" i="63" s="1"/>
  <c r="AT28" i="51" l="1"/>
  <c r="D124" i="35"/>
  <c r="D126" i="35" s="1"/>
  <c r="D132" i="35" s="1"/>
  <c r="E119" i="35"/>
  <c r="I935" i="63"/>
  <c r="C245" i="37" l="1"/>
  <c r="D135" i="36" s="1"/>
  <c r="F135" i="36" s="1"/>
  <c r="C134" i="48" s="1"/>
  <c r="AT45" i="51"/>
  <c r="C248" i="37"/>
  <c r="D247" i="37"/>
  <c r="D248" i="37" s="1"/>
  <c r="E61" i="36"/>
  <c r="B7" i="47"/>
  <c r="C137" i="50" l="1"/>
  <c r="H32" i="40"/>
  <c r="C155" i="46" s="1"/>
  <c r="AD124" i="10"/>
  <c r="E137" i="50" l="1"/>
  <c r="AG124" i="10"/>
  <c r="AD125" i="10"/>
  <c r="AG125" i="10" l="1"/>
  <c r="AD126" i="10"/>
  <c r="AG126" i="10" l="1"/>
  <c r="AD127" i="10"/>
  <c r="AG127" i="10" l="1"/>
  <c r="AD128" i="10"/>
  <c r="AG128" i="10" l="1"/>
  <c r="AG132" i="10" s="1"/>
  <c r="AD132" i="10"/>
  <c r="AD131" i="10"/>
  <c r="AG131" i="10" l="1"/>
  <c r="AE124" i="10" l="1"/>
  <c r="AF124" i="10" s="1"/>
  <c r="G32" i="40" l="1"/>
  <c r="B155" i="46" s="1"/>
  <c r="AE125" i="10"/>
  <c r="AF125" i="10" s="1"/>
  <c r="AE126" i="10" l="1"/>
  <c r="AF126" i="10" l="1"/>
  <c r="AE127" i="10" l="1"/>
  <c r="AF127" i="10" s="1"/>
  <c r="AE128" i="10" l="1"/>
  <c r="AF128" i="10" s="1"/>
  <c r="AH124" i="10" l="1"/>
  <c r="AJ124" i="10" s="1"/>
  <c r="AI124" i="10" l="1"/>
  <c r="AH125" i="10" s="1"/>
  <c r="AJ125" i="10" s="1"/>
  <c r="AI125" i="10" l="1"/>
  <c r="AH126" i="10" l="1"/>
  <c r="AJ126" i="10" s="1"/>
  <c r="AI126" i="10" l="1"/>
  <c r="AH127" i="10" l="1"/>
  <c r="AJ127" i="10" s="1"/>
  <c r="AI127" i="10" l="1"/>
  <c r="AH128" i="10" s="1"/>
  <c r="AJ128" i="10" s="1"/>
  <c r="AJ129" i="10" s="1"/>
  <c r="AI128" i="10" l="1"/>
  <c r="F74" i="3"/>
  <c r="F79" i="3" s="1"/>
  <c r="C273" i="37" l="1"/>
  <c r="D273" i="37" l="1"/>
  <c r="B38" i="46" l="1"/>
  <c r="C84" i="48"/>
  <c r="G14" i="40"/>
  <c r="B100" i="46" s="1"/>
  <c r="C103" i="50" l="1"/>
  <c r="B104" i="46"/>
  <c r="B99" i="46" s="1"/>
  <c r="C30" i="43" s="1"/>
  <c r="B35" i="46"/>
  <c r="C17" i="43" s="1"/>
  <c r="E78" i="3" l="1"/>
  <c r="E79" i="3" s="1"/>
  <c r="D79" i="3"/>
  <c r="D71" i="29" l="1"/>
  <c r="D79" i="29" s="1"/>
  <c r="D81" i="29" s="1"/>
  <c r="D14" i="7"/>
  <c r="E13" i="7"/>
  <c r="E14" i="7" l="1"/>
  <c r="D288" i="34"/>
  <c r="C26" i="2"/>
  <c r="B28" i="12" l="1"/>
  <c r="E29" i="48"/>
  <c r="D28" i="12"/>
  <c r="F28" i="12" s="1"/>
  <c r="B50" i="12"/>
  <c r="D29" i="12"/>
  <c r="C48" i="2"/>
  <c r="I46" i="8" s="1"/>
  <c r="C30" i="29"/>
  <c r="E30" i="29"/>
  <c r="E52" i="29" s="1"/>
  <c r="C289" i="34"/>
  <c r="D28" i="47" l="1"/>
  <c r="E11" i="40"/>
  <c r="E17" i="40" s="1"/>
  <c r="E26" i="40" s="1"/>
  <c r="F50" i="12"/>
  <c r="F73" i="12" s="1"/>
  <c r="D50" i="12"/>
  <c r="E51" i="48"/>
  <c r="C52" i="29"/>
  <c r="F30" i="29"/>
  <c r="D108" i="29"/>
  <c r="B51" i="12"/>
  <c r="C30" i="36" l="1"/>
  <c r="C52" i="36" s="1"/>
  <c r="D29" i="48"/>
  <c r="D11" i="40" s="1"/>
  <c r="F52" i="29"/>
  <c r="B108" i="12"/>
  <c r="B130" i="12" s="1"/>
  <c r="C63" i="2"/>
  <c r="E67" i="48" s="1"/>
  <c r="E36" i="40" s="1"/>
  <c r="F108" i="29"/>
  <c r="D107" i="48" s="1"/>
  <c r="E27" i="40"/>
  <c r="F30" i="36" l="1"/>
  <c r="C28" i="50" s="1"/>
  <c r="B131" i="12"/>
  <c r="H9" i="40"/>
  <c r="C50" i="46" s="1"/>
  <c r="C49" i="46" s="1"/>
  <c r="D20" i="43" s="1"/>
  <c r="C28" i="47"/>
  <c r="D108" i="12"/>
  <c r="F108" i="12" s="1"/>
  <c r="C27" i="35"/>
  <c r="C53" i="35" s="1"/>
  <c r="C54" i="35" s="1"/>
  <c r="E63" i="2"/>
  <c r="C68" i="29"/>
  <c r="B65" i="12"/>
  <c r="C64" i="2"/>
  <c r="D51" i="48"/>
  <c r="D50" i="50" l="1"/>
  <c r="H66" i="63"/>
  <c r="B186" i="12"/>
  <c r="C29" i="48"/>
  <c r="C11" i="40" s="1"/>
  <c r="F130" i="12"/>
  <c r="D130" i="12"/>
  <c r="C69" i="29"/>
  <c r="C79" i="29" s="1"/>
  <c r="C81" i="29" s="1"/>
  <c r="C65" i="12"/>
  <c r="C66" i="12" s="1"/>
  <c r="B66" i="12"/>
  <c r="B67" i="12" s="1"/>
  <c r="C73" i="2"/>
  <c r="E38" i="40"/>
  <c r="E39" i="40" s="1"/>
  <c r="E45" i="40" s="1"/>
  <c r="E49" i="40" s="1"/>
  <c r="E68" i="48"/>
  <c r="E78" i="48" s="1"/>
  <c r="E80" i="48" s="1"/>
  <c r="D17" i="40"/>
  <c r="D26" i="40" s="1"/>
  <c r="D27" i="40" s="1"/>
  <c r="H11" i="40"/>
  <c r="C44" i="46" s="1"/>
  <c r="C43" i="46" s="1"/>
  <c r="D19" i="43" s="1"/>
  <c r="E28" i="50" l="1"/>
  <c r="F208" i="12"/>
  <c r="J947" i="63"/>
  <c r="Q27" i="51"/>
  <c r="L66" i="63"/>
  <c r="H55" i="63"/>
  <c r="H859" i="63" s="1"/>
  <c r="G9" i="40"/>
  <c r="B50" i="46" s="1"/>
  <c r="B49" i="46" s="1"/>
  <c r="C20" i="43" s="1"/>
  <c r="B28" i="47"/>
  <c r="C75" i="2"/>
  <c r="I78" i="8" s="1"/>
  <c r="G11" i="40"/>
  <c r="B44" i="46" s="1"/>
  <c r="B43" i="46" s="1"/>
  <c r="C19" i="43" s="1"/>
  <c r="D9" i="41"/>
  <c r="D11" i="41" s="1"/>
  <c r="D14" i="41" s="1"/>
  <c r="J66" i="63" l="1"/>
  <c r="J55" i="63" s="1"/>
  <c r="L55" i="63"/>
  <c r="I859" i="63" s="1"/>
  <c r="J859" i="63" s="1"/>
  <c r="K66" i="63"/>
  <c r="K55" i="63" s="1"/>
  <c r="J962" i="63"/>
  <c r="D30" i="41"/>
  <c r="D32" i="41" s="1"/>
  <c r="D21" i="41"/>
  <c r="F967" i="63" l="1"/>
  <c r="G967" i="63"/>
  <c r="G947" i="63"/>
  <c r="F947" i="63"/>
  <c r="M55" i="63"/>
  <c r="D24" i="35"/>
  <c r="H947" i="63" l="1"/>
  <c r="M947" i="63" s="1"/>
  <c r="H967" i="63"/>
  <c r="D53" i="35"/>
  <c r="D58" i="35" l="1"/>
  <c r="D60" i="35" l="1"/>
  <c r="C256" i="34" s="1"/>
  <c r="D258" i="34" s="1"/>
  <c r="D135" i="29"/>
  <c r="C259" i="34" l="1"/>
  <c r="D259" i="34"/>
  <c r="E61" i="29"/>
  <c r="F135" i="29"/>
  <c r="D134" i="48" s="1"/>
  <c r="F61" i="29" l="1"/>
  <c r="D60" i="48" s="1"/>
  <c r="D29" i="40" s="1"/>
  <c r="H29" i="40" s="1"/>
  <c r="C89" i="46" s="1"/>
  <c r="B139" i="12" l="1"/>
  <c r="C139" i="12" s="1"/>
  <c r="C147" i="12" s="1"/>
  <c r="C61" i="36"/>
  <c r="F147" i="12"/>
  <c r="F154" i="12" s="1"/>
  <c r="D336" i="34" s="1"/>
  <c r="H28" i="40" l="1"/>
  <c r="C63" i="46" s="1"/>
  <c r="C62" i="46" s="1"/>
  <c r="D22" i="43" s="1"/>
  <c r="D33" i="40"/>
  <c r="C167" i="37"/>
  <c r="D61" i="36" s="1"/>
  <c r="D139" i="12"/>
  <c r="D147" i="12" s="1"/>
  <c r="E68" i="29"/>
  <c r="C337" i="34"/>
  <c r="D136" i="29" s="1"/>
  <c r="C341" i="37"/>
  <c r="D68" i="36" l="1"/>
  <c r="D69" i="36" s="1"/>
  <c r="F61" i="36"/>
  <c r="C59" i="50" s="1"/>
  <c r="D177" i="37"/>
  <c r="E7" i="36" s="1"/>
  <c r="F62" i="36"/>
  <c r="C60" i="50" s="1"/>
  <c r="C178" i="37"/>
  <c r="E69" i="29"/>
  <c r="F68" i="29"/>
  <c r="F136" i="29"/>
  <c r="D103" i="29"/>
  <c r="D138" i="29" s="1"/>
  <c r="H164" i="63" l="1"/>
  <c r="AT61" i="51"/>
  <c r="E60" i="50"/>
  <c r="L165" i="63" s="1"/>
  <c r="H165" i="63"/>
  <c r="E59" i="50"/>
  <c r="L164" i="63" s="1"/>
  <c r="F103" i="29"/>
  <c r="F138" i="29" s="1"/>
  <c r="E74" i="29" s="1"/>
  <c r="F74" i="29" s="1"/>
  <c r="D73" i="48" s="1"/>
  <c r="D43" i="40" s="1"/>
  <c r="D44" i="40" s="1"/>
  <c r="D135" i="48"/>
  <c r="B217" i="12"/>
  <c r="C60" i="48"/>
  <c r="C29" i="40" s="1"/>
  <c r="B218" i="12"/>
  <c r="C61" i="48"/>
  <c r="C68" i="36"/>
  <c r="C69" i="36" s="1"/>
  <c r="D67" i="48"/>
  <c r="D36" i="40" s="1"/>
  <c r="C20" i="41"/>
  <c r="C21" i="41" s="1"/>
  <c r="D178" i="37"/>
  <c r="B146" i="12"/>
  <c r="B147" i="12" s="1"/>
  <c r="F69" i="29"/>
  <c r="H163" i="63" l="1"/>
  <c r="H874" i="63" s="1"/>
  <c r="L163" i="63"/>
  <c r="I874" i="63" s="1"/>
  <c r="K164" i="63"/>
  <c r="J164" i="63"/>
  <c r="K165" i="63"/>
  <c r="J165" i="63"/>
  <c r="E71" i="29"/>
  <c r="E79" i="29" s="1"/>
  <c r="E81" i="29" s="1"/>
  <c r="H36" i="40"/>
  <c r="C90" i="46" s="1"/>
  <c r="D38" i="40"/>
  <c r="D39" i="40" s="1"/>
  <c r="D45" i="40" s="1"/>
  <c r="D49" i="40" s="1"/>
  <c r="D102" i="48"/>
  <c r="D137" i="48" s="1"/>
  <c r="D22" i="41"/>
  <c r="G29" i="40"/>
  <c r="B89" i="46" s="1"/>
  <c r="C28" i="40"/>
  <c r="D70" i="48"/>
  <c r="H37" i="40"/>
  <c r="C154" i="46" s="1"/>
  <c r="C153" i="46" s="1"/>
  <c r="D41" i="43" s="1"/>
  <c r="D68" i="48"/>
  <c r="F7" i="36"/>
  <c r="E52" i="36"/>
  <c r="F71" i="29"/>
  <c r="F79" i="29" s="1"/>
  <c r="F81" i="29" s="1"/>
  <c r="C74" i="36"/>
  <c r="C212" i="37" s="1"/>
  <c r="D74" i="36" s="1"/>
  <c r="B148" i="12"/>
  <c r="G41" i="40"/>
  <c r="L199" i="63" l="1"/>
  <c r="J874" i="63"/>
  <c r="I880" i="63"/>
  <c r="J163" i="63"/>
  <c r="K163" i="63"/>
  <c r="K199" i="63" s="1"/>
  <c r="C85" i="46"/>
  <c r="C84" i="46" s="1"/>
  <c r="D26" i="43" s="1"/>
  <c r="D23" i="41"/>
  <c r="D10" i="43"/>
  <c r="C6" i="48"/>
  <c r="C5" i="50"/>
  <c r="H6" i="63" s="1"/>
  <c r="H5" i="63" s="1"/>
  <c r="G28" i="40"/>
  <c r="B63" i="46" s="1"/>
  <c r="B62" i="46" s="1"/>
  <c r="C22" i="43" s="1"/>
  <c r="C33" i="40"/>
  <c r="D78" i="48"/>
  <c r="D80" i="48" s="1"/>
  <c r="E30" i="42"/>
  <c r="H43" i="40"/>
  <c r="C162" i="46" s="1"/>
  <c r="D28" i="42"/>
  <c r="F52" i="36"/>
  <c r="B163" i="12"/>
  <c r="D71" i="36"/>
  <c r="D79" i="36" s="1"/>
  <c r="D81" i="36" s="1"/>
  <c r="D211" i="37"/>
  <c r="E73" i="36" s="1"/>
  <c r="C213" i="37"/>
  <c r="C71" i="36"/>
  <c r="C79" i="36" s="1"/>
  <c r="C81" i="36" s="1"/>
  <c r="H138" i="63" l="1"/>
  <c r="H856" i="63"/>
  <c r="H869" i="63" s="1"/>
  <c r="F974" i="63"/>
  <c r="F954" i="63"/>
  <c r="G974" i="63"/>
  <c r="G954" i="63"/>
  <c r="D10" i="42"/>
  <c r="F10" i="42" s="1"/>
  <c r="D9" i="43"/>
  <c r="D11" i="43" s="1"/>
  <c r="D25" i="43" s="1"/>
  <c r="D27" i="43" s="1"/>
  <c r="E29" i="42"/>
  <c r="E31" i="42" s="1"/>
  <c r="C163" i="46"/>
  <c r="C161" i="46" s="1"/>
  <c r="D43" i="43" s="1"/>
  <c r="D45" i="43" s="1"/>
  <c r="C51" i="48"/>
  <c r="C8" i="40"/>
  <c r="B8" i="47" s="1"/>
  <c r="D208" i="12"/>
  <c r="E5" i="50"/>
  <c r="C50" i="50"/>
  <c r="B208" i="12"/>
  <c r="B209" i="12" s="1"/>
  <c r="D210" i="37"/>
  <c r="F73" i="36"/>
  <c r="M139" i="63" l="1"/>
  <c r="G8" i="40"/>
  <c r="C49" i="43"/>
  <c r="C55" i="43" s="1"/>
  <c r="H974" i="63"/>
  <c r="H954" i="63"/>
  <c r="D47" i="43"/>
  <c r="D56" i="43" s="1"/>
  <c r="C17" i="40"/>
  <c r="C26" i="40" s="1"/>
  <c r="C27" i="40" s="1"/>
  <c r="C208" i="12"/>
  <c r="D11" i="42"/>
  <c r="E37" i="42"/>
  <c r="F26" i="43"/>
  <c r="L6" i="63"/>
  <c r="L5" i="63" s="1"/>
  <c r="I856" i="63" s="1"/>
  <c r="Q24" i="51"/>
  <c r="C51" i="50"/>
  <c r="E50" i="50"/>
  <c r="C72" i="48"/>
  <c r="C72" i="50"/>
  <c r="H210" i="63" s="1"/>
  <c r="H202" i="63" s="1"/>
  <c r="H882" i="63" s="1"/>
  <c r="D213" i="37"/>
  <c r="E75" i="36"/>
  <c r="D12" i="42" l="1"/>
  <c r="F12" i="42" s="1"/>
  <c r="H12" i="42" s="1"/>
  <c r="D28" i="41"/>
  <c r="D54" i="43"/>
  <c r="D58" i="43"/>
  <c r="D59" i="43"/>
  <c r="J856" i="63"/>
  <c r="I869" i="63"/>
  <c r="L138" i="63"/>
  <c r="M5" i="63"/>
  <c r="F11" i="42"/>
  <c r="K6" i="63"/>
  <c r="K5" i="63" s="1"/>
  <c r="K138" i="63" s="1"/>
  <c r="K200" i="63" s="1"/>
  <c r="J6" i="63"/>
  <c r="J5" i="63" s="1"/>
  <c r="J138" i="63" s="1"/>
  <c r="E72" i="50"/>
  <c r="F75" i="36"/>
  <c r="G964" i="63" l="1"/>
  <c r="G982" i="63" s="1"/>
  <c r="F944" i="63"/>
  <c r="F962" i="63" s="1"/>
  <c r="F964" i="63"/>
  <c r="G944" i="63"/>
  <c r="J869" i="63"/>
  <c r="L200" i="63"/>
  <c r="C74" i="48"/>
  <c r="C74" i="50"/>
  <c r="F225" i="12"/>
  <c r="F232" i="12" s="1"/>
  <c r="D342" i="37" s="1"/>
  <c r="C343" i="37" s="1"/>
  <c r="H964" i="63" l="1"/>
  <c r="H982" i="63" s="1"/>
  <c r="M982" i="63" s="1"/>
  <c r="F982" i="63"/>
  <c r="E74" i="50"/>
  <c r="H225" i="63"/>
  <c r="H224" i="63" s="1"/>
  <c r="H944" i="63"/>
  <c r="G962" i="63"/>
  <c r="G42" i="40"/>
  <c r="B111" i="46"/>
  <c r="C34" i="43" s="1"/>
  <c r="C36" i="43" s="1"/>
  <c r="D344" i="37"/>
  <c r="E68" i="36"/>
  <c r="E69" i="36" s="1"/>
  <c r="H884" i="63" l="1"/>
  <c r="H962" i="63"/>
  <c r="M962" i="63" s="1"/>
  <c r="M944" i="63"/>
  <c r="F14" i="42"/>
  <c r="E18" i="42"/>
  <c r="D136" i="36"/>
  <c r="F136" i="36" s="1"/>
  <c r="C138" i="50" s="1"/>
  <c r="C344" i="37"/>
  <c r="F68" i="36"/>
  <c r="C66" i="50" s="1"/>
  <c r="H167" i="63" l="1"/>
  <c r="J167" i="63" s="1"/>
  <c r="J199" i="63" s="1"/>
  <c r="J200" i="63" s="1"/>
  <c r="D140" i="50"/>
  <c r="C140" i="50"/>
  <c r="D67" i="50"/>
  <c r="C67" i="50"/>
  <c r="E138" i="50"/>
  <c r="E140" i="50" s="1"/>
  <c r="AT27" i="51" s="1"/>
  <c r="F103" i="36"/>
  <c r="F138" i="36" s="1"/>
  <c r="E74" i="36" s="1"/>
  <c r="E71" i="36" s="1"/>
  <c r="E79" i="36" s="1"/>
  <c r="E81" i="36" s="1"/>
  <c r="C135" i="48"/>
  <c r="F69" i="36"/>
  <c r="C67" i="48"/>
  <c r="C36" i="40" s="1"/>
  <c r="B224" i="12"/>
  <c r="D103" i="36"/>
  <c r="D138" i="36" s="1"/>
  <c r="H199" i="63" l="1"/>
  <c r="H875" i="63"/>
  <c r="J875" i="63" s="1"/>
  <c r="J880" i="63" s="1"/>
  <c r="F74" i="36"/>
  <c r="C73" i="50" s="1"/>
  <c r="E73" i="50" s="1"/>
  <c r="E77" i="50" s="1"/>
  <c r="H880" i="63"/>
  <c r="C102" i="48"/>
  <c r="C22" i="41"/>
  <c r="C38" i="40"/>
  <c r="C39" i="40" s="1"/>
  <c r="G36" i="40"/>
  <c r="B90" i="46" s="1"/>
  <c r="Q26" i="51"/>
  <c r="Q51" i="51"/>
  <c r="C225" i="12"/>
  <c r="D225" i="12"/>
  <c r="E66" i="50"/>
  <c r="B225" i="12"/>
  <c r="B226" i="12" s="1"/>
  <c r="G37" i="40"/>
  <c r="B154" i="46" s="1"/>
  <c r="B153" i="46" s="1"/>
  <c r="C41" i="43" s="1"/>
  <c r="C68" i="48"/>
  <c r="C68" i="50" s="1"/>
  <c r="M591" i="63" l="1"/>
  <c r="C137" i="48"/>
  <c r="H200" i="63"/>
  <c r="M198" i="63"/>
  <c r="F71" i="36"/>
  <c r="F79" i="36" s="1"/>
  <c r="F81" i="36" s="1"/>
  <c r="C141" i="50"/>
  <c r="C73" i="48"/>
  <c r="C43" i="40" s="1"/>
  <c r="C44" i="40" s="1"/>
  <c r="C45" i="40" s="1"/>
  <c r="C49" i="40" s="1"/>
  <c r="C77" i="50"/>
  <c r="C79" i="50" s="1"/>
  <c r="H220" i="63"/>
  <c r="H219" i="63" s="1"/>
  <c r="Q55" i="51"/>
  <c r="Q61" i="51" s="1"/>
  <c r="M592" i="63"/>
  <c r="M438" i="63"/>
  <c r="Q32" i="51"/>
  <c r="M138" i="63" s="1"/>
  <c r="M32" i="63"/>
  <c r="E67" i="50"/>
  <c r="H67" i="50" s="1"/>
  <c r="Q33" i="51"/>
  <c r="C23" i="41"/>
  <c r="C10" i="43"/>
  <c r="B85" i="46"/>
  <c r="B84" i="46" s="1"/>
  <c r="C26" i="43" s="1"/>
  <c r="C70" i="48" l="1"/>
  <c r="C78" i="48" s="1"/>
  <c r="C80" i="48" s="1"/>
  <c r="Q60" i="51"/>
  <c r="Q63" i="51" s="1"/>
  <c r="AL27" i="51" s="1"/>
  <c r="H883" i="63"/>
  <c r="H887" i="63" s="1"/>
  <c r="K887" i="63" s="1"/>
  <c r="H240" i="63"/>
  <c r="M240" i="63" s="1"/>
  <c r="Q34" i="51"/>
  <c r="C4" i="54" s="1"/>
  <c r="M199" i="63"/>
  <c r="D13" i="42"/>
  <c r="F13" i="42" s="1"/>
  <c r="D29" i="42"/>
  <c r="B163" i="46"/>
  <c r="C9" i="43"/>
  <c r="C11" i="43" s="1"/>
  <c r="C25" i="43" s="1"/>
  <c r="C27" i="43" s="1"/>
  <c r="G43" i="40"/>
  <c r="B162" i="46" s="1"/>
  <c r="D30" i="42"/>
  <c r="AU28" i="51" l="1"/>
  <c r="AU27" i="51"/>
  <c r="AL34" i="51"/>
  <c r="AL40" i="51" s="1"/>
  <c r="M593" i="63"/>
  <c r="C13" i="54"/>
  <c r="C18" i="54" s="1"/>
  <c r="B161" i="46"/>
  <c r="C43" i="43" s="1"/>
  <c r="C45" i="43" s="1"/>
  <c r="C47" i="43" s="1"/>
  <c r="C7" i="54"/>
  <c r="C11" i="54" s="1"/>
  <c r="M200" i="63"/>
  <c r="D31" i="42"/>
  <c r="D37" i="42" s="1"/>
  <c r="E26" i="43"/>
  <c r="C54" i="43" l="1"/>
  <c r="C56" i="43"/>
  <c r="C58" i="43" s="1"/>
  <c r="D17" i="42"/>
  <c r="F17" i="42" l="1"/>
  <c r="C28" i="41"/>
  <c r="C59" i="43"/>
  <c r="D18" i="42"/>
  <c r="F18" i="42" s="1"/>
  <c r="H18" i="42" s="1"/>
  <c r="AL42" i="51"/>
  <c r="C5" i="55" s="1"/>
  <c r="D22" i="42" l="1"/>
  <c r="C6" i="55"/>
  <c r="C8" i="55" s="1"/>
  <c r="C12" i="55"/>
  <c r="C13" i="55" s="1"/>
  <c r="AL45" i="51"/>
  <c r="C20" i="54"/>
  <c r="C21" i="54" s="1"/>
  <c r="C22" i="54" s="1"/>
  <c r="D22" i="54" s="1"/>
  <c r="C14" i="55" l="1"/>
  <c r="C15" i="55" s="1"/>
  <c r="C17" i="55" s="1"/>
  <c r="C19" i="55" s="1"/>
  <c r="AL54" i="51" s="1"/>
  <c r="AL61" i="51" l="1"/>
  <c r="AL58" i="51"/>
  <c r="AL60" i="51"/>
  <c r="AT60" i="51" s="1"/>
  <c r="AT62" i="5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William</author>
  </authors>
  <commentList>
    <comment ref="AA46" authorId="0" shapeId="0" xr:uid="{00000000-0006-0000-0700-000001000000}">
      <text>
        <r>
          <rPr>
            <sz val="9"/>
            <color indexed="81"/>
            <rFont val="Tahoma"/>
            <family val="2"/>
          </rPr>
          <t>registre en esta casilla el valor de la inversión realizada en la Modalidad de pago 1 “Obras por Impuestos”, el cual no puede superar el cincuenta por ciento (50%) del valor de la casilla 97 (Total impuesto a cargo), conforme lo establecido en el numeral 1 del artículo 1.6.5.1.3 del DUR 1625/2016. La extinción del impuesto sobre la renta y complementario asociado con esta inversión se efectuará una vez recibida la obra, de conformidad con lo previsto en el artículo 1.6.5.4.1. del DUR 1625/2016.</t>
        </r>
      </text>
    </comment>
    <comment ref="AA47" authorId="0" shapeId="0" xr:uid="{00000000-0006-0000-0700-000002000000}">
      <text>
        <r>
          <rPr>
            <sz val="9"/>
            <color indexed="81"/>
            <rFont val="Tahoma"/>
            <family val="2"/>
          </rPr>
          <t>Las personas jurídicas contribuyentes del impuesto sobre la renta y complementario que se acogieron a lo dispuesto en el artículo 238 de la Ley 1819 de 2016 registrarán en esta casilla el valor del descuento efectivo de la inversión por Obras por Impuestos, Modalidad de pago 2. Este valor no puede exceder el diez por ciento (10%) del valor del proyecto, ni el cincuenta por ciento (50%) de la casilla 97 (Total impuesto a cargo). Este límite puede alcanzar el ochenta por ciento (80%) con autorización de la dirección seccional, sin  uperar el valor de la cuota anual del diez por ciento (10%) del valor del proyecto,
conforme a lo establecido en el artículo 1.6.5.4.13 del DUR 1625/2016. La  xtinción del impuesto sobre la renta y complementario asociado con esta inversión se efectuará una vez recibida la obra, de conformidad con lo previsto en los artículos 1.6.5.4.13., 1.6.5.4.17. y 1.6.5.4.19. del DUR 1625/2016</t>
        </r>
      </text>
    </comment>
    <comment ref="D56" authorId="0" shapeId="0" xr:uid="{00000000-0006-0000-0700-000003000000}">
      <text>
        <r>
          <rPr>
            <sz val="9"/>
            <color indexed="81"/>
            <rFont val="Tahoma"/>
            <family val="2"/>
          </rPr>
          <t>Inversiones efectuadas en el año: incluya en esta casilla el valor de las
inversiones realizadas en el período, que cumplan las condiciones establecidas
en el artículo 1.2.1.5.1.22. del DUR 1625/2016, las cuales se pueden detraer de
los ingresos para efectos de determinar el valor del excedente neto del periodo
(artículo 357 E.T. y artículo 1.2.1.5.1.24 del DUR 1625/2016). Tenga en cuenta
que el valor de las inversiones no podrá exceder el resultado del beneficio neto o
excedente, computado antes de descontar la inversión.
Nota: Las entidades del Régimen Tributario Especial que tenga rentas originadas
en contratos de obra pública e interventoría suscrito con entidades estatales, no le
es aplicable lo establecido en este renglón, respecto de dichas rentas.</t>
        </r>
      </text>
    </comment>
    <comment ref="D57" authorId="0" shapeId="0" xr:uid="{00000000-0006-0000-0700-000004000000}">
      <text>
        <r>
          <rPr>
            <sz val="9"/>
            <color indexed="81"/>
            <rFont val="Tahoma"/>
            <family val="2"/>
          </rPr>
          <t>Inversiones liquidadas de periodos gravables anteriores: incluya en esta
casilla el valor de las inversiones constituidas en ejercicios anteriores, liquidadas
en el período gravable objeto de declaración, las cuales deben ser incluidas para
la determinación del excedente neto del período (artículo 1.2.1.5.1.24 del DUR
1625/2016).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William</author>
    <author>WILIAM</author>
  </authors>
  <commentList>
    <comment ref="D596" authorId="0" shapeId="0" xr:uid="{00000000-0006-0000-0800-000001000000}">
      <text>
        <r>
          <rPr>
            <sz val="9"/>
            <color indexed="81"/>
            <rFont val="Tahoma"/>
            <family val="2"/>
          </rPr>
          <t>CLASIFICACIÓN DE DIFERENCIAS:
Establecidas las diferencias entre las bases contables y las bases fiscales, se procede a la identificación de su origen, según se trate de diferencias permanentes (aquellas que no son revertidas en períodos posteriores) o temporales (que serán objeto de reversión en períodos futuros y que afectan la determinación de la renta o pérdida líquida del contribuyente en el periodo fiscal).
El análisis parte de la utilidad contable, la cual ajustada con las diferencias permanentes y temporales deberá arrojar la renta líquida del periodo.
En todos los casos, se debe diligenciar el valor de la base fiscal, dado que es el monto que se suma o se resta a la utilidad o pérdida contable para llegar a la renta o pérdida líquida, por tanto, no se debe reportar ni tarifa ni el valor del impuesto.
En el concepto Valor fiscal al que tiene derecho reporte el valor total al que tiene derecho a utilizar en la liquidación de su renta líquida, de acuerdo con las normas fiscales vigentes.
Valor fiscal solicitado: reporte en este renglón la cifra realmente aplicada en la depuración de su renta líquida. Este valor puede ser inferior al dato reportado en la casilla anterior por la aplicación de alguna de las limitaciones previstas en el Estatuto Tributario.</t>
        </r>
      </text>
    </comment>
    <comment ref="G596" authorId="0" shapeId="0" xr:uid="{00000000-0006-0000-0800-000002000000}">
      <text>
        <r>
          <rPr>
            <sz val="9"/>
            <color indexed="81"/>
            <rFont val="Tahoma"/>
            <family val="2"/>
          </rPr>
          <t xml:space="preserve">
Diferencias permanentes:
Las diferencias permanentes se dividen entre las que disminuyen la renta líquida (Ingresos no constitutivos de renta ni ganancia ocasional, entre otras) y las que aumentan la renta líquida (costos y gastos no deducibles, pérdidas no deducibles, etc.), de acuerdo con las normas y reglas del Estatuto Tributario y sus Decretos Reglamentarios.
De acuerdo con los conceptos relacionados en cada caso, se debe diligencia el valor fiscal total a que se tiene derecho y el valor fiscal solicitado, es decir, el valor que haya sido utilizado en la liquidación de la renta líquida del período.</t>
        </r>
      </text>
    </comment>
    <comment ref="D597" authorId="0" shapeId="0" xr:uid="{00000000-0006-0000-0800-000003000000}">
      <text>
        <r>
          <rPr>
            <b/>
            <sz val="9"/>
            <color indexed="81"/>
            <rFont val="Tahoma"/>
            <family val="2"/>
          </rPr>
          <t>Diferencias permanentes que disminuyen la Renta liquida</t>
        </r>
        <r>
          <rPr>
            <sz val="9"/>
            <color indexed="81"/>
            <rFont val="Tahoma"/>
            <family val="2"/>
          </rPr>
          <t xml:space="preserve">
Son las que disminuyen la renta líquida (Ingresos no constitutivos de renta ni ganancia ocasional, entre otras)</t>
        </r>
      </text>
    </comment>
    <comment ref="D609" authorId="0" shapeId="0" xr:uid="{00000000-0006-0000-0800-000004000000}">
      <text>
        <r>
          <rPr>
            <b/>
            <sz val="9"/>
            <color indexed="81"/>
            <rFont val="Tahoma"/>
            <family val="2"/>
          </rPr>
          <t xml:space="preserve">Diferencias permanentes que aumentan la renta liquida:
</t>
        </r>
        <r>
          <rPr>
            <sz val="9"/>
            <color indexed="81"/>
            <rFont val="Tahoma"/>
            <family val="2"/>
          </rPr>
          <t>Son las diferencias que</t>
        </r>
        <r>
          <rPr>
            <b/>
            <sz val="9"/>
            <color indexed="81"/>
            <rFont val="Tahoma"/>
            <family val="2"/>
          </rPr>
          <t xml:space="preserve"> </t>
        </r>
        <r>
          <rPr>
            <sz val="9"/>
            <color indexed="81"/>
            <rFont val="Tahoma"/>
            <family val="2"/>
          </rPr>
          <t>aumentan la renta líquida (costos y gastos no deducibles, pérdidas no deducibles, etc.), de acuerdo con las normas y reglas del Estatuto Tributario y sus Decretos Reglamentarios.</t>
        </r>
      </text>
    </comment>
    <comment ref="D642" authorId="0" shapeId="0" xr:uid="{00000000-0006-0000-0800-000005000000}">
      <text>
        <r>
          <rPr>
            <b/>
            <sz val="9"/>
            <color indexed="81"/>
            <rFont val="Tahoma"/>
            <family val="2"/>
          </rPr>
          <t xml:space="preserve">Diferencias temporales:
</t>
        </r>
        <r>
          <rPr>
            <sz val="9"/>
            <color indexed="81"/>
            <rFont val="Tahoma"/>
            <family val="2"/>
          </rPr>
          <t xml:space="preserve">
Las diferencias temporales se agrupan en deducibles e imponibles. Las diferencias temporales deducibles son aquellas que en su reversión disminuyen la renta líquida. Las diferencias temporales imponibles son las que incrementan la renta líquida al momento de su reversión.
</t>
        </r>
        <r>
          <rPr>
            <b/>
            <sz val="9"/>
            <color indexed="81"/>
            <rFont val="Tahoma"/>
            <family val="2"/>
          </rPr>
          <t xml:space="preserve">
Solamente se deben registrar las diferencias temporales que hayan afectado el estado de resultados del período.</t>
        </r>
      </text>
    </comment>
    <comment ref="D699" authorId="0" shapeId="0" xr:uid="{00000000-0006-0000-0800-000006000000}">
      <text>
        <r>
          <rPr>
            <b/>
            <sz val="9"/>
            <color indexed="81"/>
            <rFont val="Tahoma"/>
            <family val="2"/>
          </rPr>
          <t xml:space="preserve">Otras diferencias temporale:
</t>
        </r>
        <r>
          <rPr>
            <sz val="9"/>
            <color indexed="81"/>
            <rFont val="Tahoma"/>
            <family val="2"/>
          </rPr>
          <t xml:space="preserve">
Se refieren a aquellos conceptos que no tienen una característica definida en su reversión, sino que tanto en la generación como en la reversión pueden ser imponibles o deducibles, en la medida que incrementen o disminuyan la renta líquida, dependiendo del valor contable respecto del valor fiscal</t>
        </r>
      </text>
    </comment>
    <comment ref="D715" authorId="0" shapeId="0" xr:uid="{00000000-0006-0000-0800-000007000000}">
      <text>
        <r>
          <rPr>
            <b/>
            <sz val="9"/>
            <color indexed="81"/>
            <rFont val="Tahoma"/>
            <family val="2"/>
          </rPr>
          <t>ENTIDADES CONTROLADAS DEL EXTERIOR SIN RESIDENCIA FISCAL EN COLOMBIA</t>
        </r>
        <r>
          <rPr>
            <sz val="9"/>
            <color indexed="81"/>
            <rFont val="Tahoma"/>
            <family val="2"/>
          </rPr>
          <t xml:space="preserve">
Esta sección deberá ser diligenciada por los residentes fiscales colombianos que tengan, directa o indirectamente, una participación igual o superior al 10% en el capital de la ECE o en los resultados de la misma.
Para ello, reporte del valor de los ingresos pasivos y sus correspondientes costos, gastos y deducciones, de cuyas restas se obtienen las rentas pasivas a declarar, de conformidad con lo señalado por los artículos 882 a 893 del E.T.
La información reportada en este apartado no debe ser incluida en los apartados anteriores relacionados con Ingresos, costos y deducciones.</t>
        </r>
      </text>
    </comment>
    <comment ref="C795" authorId="0" shapeId="0" xr:uid="{00000000-0006-0000-0800-000008000000}">
      <text>
        <r>
          <rPr>
            <b/>
            <sz val="9"/>
            <color indexed="81"/>
            <rFont val="Tahoma"/>
            <family val="2"/>
          </rPr>
          <t xml:space="preserve">OTRO RESULTADO INTEGRAL
</t>
        </r>
        <r>
          <rPr>
            <sz val="9"/>
            <color indexed="81"/>
            <rFont val="Tahoma"/>
            <family val="2"/>
          </rPr>
          <t xml:space="preserve">
De acuerdo con los marcos técnicos contables vigentes, registre los resultados los valores netos en cada una de las partidas que hagan parte del Otro resultado integral obtenidos en el período, los conceptos fueron tomados de la taxonomía XBRL propuesta por la fundación IFRS.</t>
        </r>
      </text>
    </comment>
    <comment ref="D811" authorId="0" shapeId="0" xr:uid="{00000000-0006-0000-0800-000009000000}">
      <text>
        <r>
          <rPr>
            <sz val="9"/>
            <color indexed="81"/>
            <rFont val="Tahoma"/>
            <family val="2"/>
          </rPr>
          <t>Registre el gasto por impuesto corriente del período y el ingreso o gasto por impuesto diferido obtenido en el período. De la sumatoria de estos valores se obtiene el valor neto del gasto por impuesto del período por concepto del impuesto sobre la renta y complementario.</t>
        </r>
      </text>
    </comment>
    <comment ref="D820" authorId="0" shapeId="0" xr:uid="{00000000-0006-0000-0800-00000A000000}">
      <text>
        <r>
          <rPr>
            <sz val="9"/>
            <color indexed="81"/>
            <rFont val="Tahoma"/>
            <family val="2"/>
          </rPr>
          <t>Registre el valor de los ingresos contables devengados en el período, originados en los programas de fidelización de clientes, que corresponden a los puntos o beneficios redimidos o caducados en el período sin que el cliente haya hecho uso del derecho. Igualmente registre el valor fiscal de este concepto reconocido en su declaración de renta y complementario del período.</t>
        </r>
      </text>
    </comment>
    <comment ref="D821" authorId="0" shapeId="0" xr:uid="{00000000-0006-0000-0800-00000B000000}">
      <text>
        <r>
          <rPr>
            <b/>
            <sz val="9"/>
            <color indexed="81"/>
            <rFont val="Tahoma"/>
            <family val="2"/>
          </rPr>
          <t xml:space="preserve">Ingresos fiscales por fidelización de clientes, sin devengo contable
</t>
        </r>
        <r>
          <rPr>
            <sz val="9"/>
            <color indexed="81"/>
            <rFont val="Tahoma"/>
            <family val="2"/>
          </rPr>
          <t>Registre el valor del ingreso que declaró fiscalmente en aplicación del numeral 8 del artículo 28 del E.T., es decir, que no ha habido lugar a su devengo contable porque no han sido reclamados por el cliente o porque no han caducado.</t>
        </r>
      </text>
    </comment>
    <comment ref="D822" authorId="0" shapeId="0" xr:uid="{00000000-0006-0000-0800-00000C000000}">
      <text>
        <r>
          <rPr>
            <b/>
            <sz val="9"/>
            <color indexed="81"/>
            <rFont val="Tahoma"/>
            <family val="2"/>
          </rPr>
          <t xml:space="preserve">Retiros para consumo y publicidad, propaganda y promoción
</t>
        </r>
        <r>
          <rPr>
            <sz val="9"/>
            <color indexed="81"/>
            <rFont val="Tahoma"/>
            <family val="2"/>
          </rPr>
          <t>Registre el valor contable y fiscal de los bienes que retiró de sus inventarios con destino a consumo, publicidad, propaganda y promoción.</t>
        </r>
      </text>
    </comment>
    <comment ref="D823" authorId="0" shapeId="0" xr:uid="{00000000-0006-0000-0800-00000D000000}">
      <text>
        <r>
          <rPr>
            <b/>
            <sz val="9"/>
            <color indexed="81"/>
            <rFont val="Tahoma"/>
            <family val="2"/>
          </rPr>
          <t>Dividendos decretados en el periodo gravable</t>
        </r>
        <r>
          <rPr>
            <sz val="9"/>
            <color indexed="81"/>
            <rFont val="Tahoma"/>
            <family val="2"/>
          </rPr>
          <t xml:space="preserve">
Registre el monto de los dividendos decretados a su favor en el período, independientemente de la fecha de su exigibilidad o pago; esto es por las inversiones poseídas en subsidiarias, asociadas o negocios conjuntos.</t>
        </r>
      </text>
    </comment>
    <comment ref="D824" authorId="0" shapeId="0" xr:uid="{00000000-0006-0000-0800-00000E000000}">
      <text>
        <r>
          <rPr>
            <b/>
            <sz val="9"/>
            <color indexed="81"/>
            <rFont val="Tahoma"/>
            <family val="2"/>
          </rPr>
          <t>Dividendos cobrados en el periodo gravable</t>
        </r>
        <r>
          <rPr>
            <sz val="9"/>
            <color indexed="81"/>
            <rFont val="Tahoma"/>
            <family val="2"/>
          </rPr>
          <t xml:space="preserve">
Registre el valor de los dividendos efectivamente cobrados en el período, con ocasión de las inversiones poseídas en subsidiarias, asociadas o negocios conjuntos.</t>
        </r>
      </text>
    </comment>
    <comment ref="D825" authorId="0" shapeId="0" xr:uid="{00000000-0006-0000-0800-00000F000000}">
      <text>
        <r>
          <rPr>
            <sz val="9"/>
            <color indexed="81"/>
            <rFont val="Tahoma"/>
            <family val="2"/>
          </rPr>
          <t xml:space="preserve">
</t>
        </r>
        <r>
          <rPr>
            <b/>
            <sz val="9"/>
            <color indexed="81"/>
            <rFont val="Tahoma"/>
            <family val="2"/>
          </rPr>
          <t>Ingresos devengados de fideicomisos o encargos fiduciarios, calidad de fideicomitente o fiduciante</t>
        </r>
        <r>
          <rPr>
            <sz val="9"/>
            <color indexed="81"/>
            <rFont val="Tahoma"/>
            <family val="2"/>
          </rPr>
          <t xml:space="preserve">
Registre el valor de los ingresos devengados que forman parte de los encargos fiduciarios en los cuales actúa en calidad de fideicomitente o fiduciante. Lo anterior con base en los datos suministrados por los fiduciarios, en cumplimiento del artículo 271-1 y del numeral 2 y del parágrafo 3 del artículo 102 del Estatuto Tributario.</t>
        </r>
      </text>
    </comment>
    <comment ref="D826" authorId="0" shapeId="0" xr:uid="{00000000-0006-0000-0800-000010000000}">
      <text>
        <r>
          <rPr>
            <b/>
            <sz val="9"/>
            <color indexed="81"/>
            <rFont val="Tahoma"/>
            <family val="2"/>
          </rPr>
          <t>Ingresos devengados de fideicomisos o encargos fiduciarios, calidad de beneficiario</t>
        </r>
        <r>
          <rPr>
            <sz val="9"/>
            <color indexed="81"/>
            <rFont val="Tahoma"/>
            <family val="2"/>
          </rPr>
          <t xml:space="preserve">
Registre el valor de los ingresos devengados que forman parte de los encargos fiduciarios en los cuales actúa en calidad de beneficiario. Lo anterior con base en los datos suministrados por los fiduciarios, en cumplimiento del artículo 271-1 y del numeral 2 y del parágrafo 3 del artículo 102 del Estatuto Tributario</t>
        </r>
      </text>
    </comment>
    <comment ref="D827" authorId="0" shapeId="0" xr:uid="{00000000-0006-0000-0800-000011000000}">
      <text>
        <r>
          <rPr>
            <b/>
            <sz val="9"/>
            <color indexed="81"/>
            <rFont val="Tahoma"/>
            <family val="2"/>
          </rPr>
          <t>Costos y gastos devengados, asociados a ingresos por fidelización de clientes</t>
        </r>
        <r>
          <rPr>
            <sz val="9"/>
            <color indexed="81"/>
            <rFont val="Tahoma"/>
            <family val="2"/>
          </rPr>
          <t xml:space="preserve">
Registre el valor de los costos y gastos devengados en el período, asociados a los ingresos devengados por fidelización de clientes. Reporte tanto el componente contable como fiscal</t>
        </r>
      </text>
    </comment>
    <comment ref="D828" authorId="0" shapeId="0" xr:uid="{00000000-0006-0000-0800-000012000000}">
      <text>
        <r>
          <rPr>
            <b/>
            <sz val="9"/>
            <color indexed="81"/>
            <rFont val="Tahoma"/>
            <family val="2"/>
          </rPr>
          <t>Bajas de inventarios (faltantes, caso fortuito o fuerza mayor), reconocidos como costo o gasto en el estado de resultados del ejercicio</t>
        </r>
        <r>
          <rPr>
            <sz val="9"/>
            <color indexed="81"/>
            <rFont val="Tahoma"/>
            <family val="2"/>
          </rPr>
          <t xml:space="preserve">
Registre en esta casilla el valor de los inventarios dados de baja por faltantes y que fueron reconocidos como costo o gasto en el estado de resultados del ejercicio y la declaración de renta y complementario.</t>
        </r>
      </text>
    </comment>
    <comment ref="D829" authorId="0" shapeId="0" xr:uid="{00000000-0006-0000-0800-000013000000}">
      <text>
        <r>
          <rPr>
            <sz val="9"/>
            <color indexed="81"/>
            <rFont val="Tahoma"/>
            <family val="2"/>
          </rPr>
          <t xml:space="preserve">
Registre en esta casilla cuando haya lugar el valor de los costos indirectos de producción que no fueron distribuidos como costo del inventario y que se reconocieron como costo o gasto en el estado de resultados del período.</t>
        </r>
      </text>
    </comment>
    <comment ref="D830" authorId="0" shapeId="0" xr:uid="{00000000-0006-0000-0800-000014000000}">
      <text>
        <r>
          <rPr>
            <sz val="9"/>
            <color indexed="81"/>
            <rFont val="Tahoma"/>
            <family val="2"/>
          </rPr>
          <t>Registre el valor de los descuentos en compras que contablemente se reconocieron como menor valor del inventario</t>
        </r>
      </text>
    </comment>
    <comment ref="D831" authorId="0" shapeId="0" xr:uid="{00000000-0006-0000-0800-000015000000}">
      <text>
        <r>
          <rPr>
            <sz val="9"/>
            <color indexed="81"/>
            <rFont val="Tahoma"/>
            <family val="2"/>
          </rPr>
          <t>Registre el valor de los costos y gastos devengados que forman parte de los encargos fiduciarios en los cuales actúa en calidad de fideicomitente o fiduciante. Lo anterior con base en los datos suministrados por los fiduciarios, en cumplimiento del artículo 271-1 y del numeral 2 y del parágrafo 3 del artículo 102 del Estatuto Tributario</t>
        </r>
      </text>
    </comment>
    <comment ref="D832" authorId="0" shapeId="0" xr:uid="{00000000-0006-0000-0800-000016000000}">
      <text>
        <r>
          <rPr>
            <sz val="9"/>
            <color indexed="81"/>
            <rFont val="Tahoma"/>
            <family val="2"/>
          </rPr>
          <t>Registre el valor de los costos y gastos devengados que forman parte de los encargos fiduciarios en los cuales actúa en calidad de beneficiario. Lo anterior con base en los datos suministrados por los fiduciarios, en cumplimiento del artículo 271-1 y del numeral 2 y del parágrafo 3 del artículo 102 del Estatuto Tributario</t>
        </r>
      </text>
    </comment>
    <comment ref="D834" authorId="0" shapeId="0" xr:uid="{00000000-0006-0000-0800-000017000000}">
      <text>
        <r>
          <rPr>
            <sz val="9"/>
            <color indexed="81"/>
            <rFont val="Tahoma"/>
            <family val="2"/>
          </rPr>
          <t>Registre en esta casilla el total de los salarios, prestaciones sociales y demás pagos laborales causados en el año gravable independientemente que hayan sido registrados como costo o como gasto.
El dato viene amarrado de la Plantilla Sumaria</t>
        </r>
      </text>
    </comment>
    <comment ref="D835" authorId="0" shapeId="0" xr:uid="{00000000-0006-0000-0800-000018000000}">
      <text>
        <r>
          <rPr>
            <sz val="9"/>
            <color indexed="81"/>
            <rFont val="Tahoma"/>
            <family val="2"/>
          </rPr>
          <t xml:space="preserve">Registre el valor total de los aportes pagados al sistema de seguridad social durante el año gravable o fracción de año, correspondiente a aportes por salud, a fondos de pensiones de jubilación e invalidez y riesgos laborales.
</t>
        </r>
      </text>
    </comment>
    <comment ref="D836" authorId="0" shapeId="0" xr:uid="{00000000-0006-0000-0800-000019000000}">
      <text>
        <r>
          <rPr>
            <sz val="9"/>
            <color indexed="81"/>
            <rFont val="Tahoma"/>
            <family val="2"/>
          </rPr>
          <t>Registre en esta casilla el valor de los aportes parafiscales pagados durante el año gravable o en la fracción de año, los cuales deben corresponder al valor solicitado como costo y/o deducción de conformidad con lo previsto en el E.T.</t>
        </r>
      </text>
    </comment>
    <comment ref="D837" authorId="0" shapeId="0" xr:uid="{00000000-0006-0000-0800-00001A000000}">
      <text>
        <r>
          <rPr>
            <sz val="9"/>
            <color indexed="81"/>
            <rFont val="Tahoma"/>
            <family val="2"/>
          </rPr>
          <t>Registre en esta casilla el valor de los aportes a seguros privados de pensiones y fondos de pensiones voluntarias pagados por el empleador durante el año gravable o en la fracción de año.</t>
        </r>
      </text>
    </comment>
    <comment ref="C838" authorId="0" shapeId="0" xr:uid="{00000000-0006-0000-0800-00001B000000}">
      <text>
        <r>
          <rPr>
            <sz val="9"/>
            <color indexed="81"/>
            <rFont val="Tahoma"/>
            <family val="2"/>
          </rPr>
          <t>Registre en cada casilla según corresponda el valor contable y el valor fiscal de las operaciones celebradas en el período gravable con los vinculados económicos a que se refiere el artículo 260-1 del Estatuto Tributario, sean estos del exterior o ubicados en zona franca</t>
        </r>
      </text>
    </comment>
    <comment ref="G959" authorId="1" shapeId="0" xr:uid="{00000000-0006-0000-0800-00001C000000}">
      <text>
        <r>
          <rPr>
            <sz val="9"/>
            <color indexed="81"/>
            <rFont val="Tahoma"/>
            <family val="2"/>
          </rPr>
          <t>Valor digitable si no se dilogencia el anexo de compensación de pérdidas fiscales y excesos de renta presuntiva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William</author>
  </authors>
  <commentList>
    <comment ref="AA36" authorId="0" shapeId="0" xr:uid="{00000000-0006-0000-2200-000001000000}">
      <text>
        <r>
          <rPr>
            <b/>
            <sz val="9"/>
            <color indexed="81"/>
            <rFont val="Tahoma"/>
            <family val="2"/>
          </rPr>
          <t>Se da prioridad al exceso de renta presuntiva dado que estas caducan.</t>
        </r>
      </text>
    </comment>
  </commentList>
</comments>
</file>

<file path=xl/sharedStrings.xml><?xml version="1.0" encoding="utf-8"?>
<sst xmlns="http://schemas.openxmlformats.org/spreadsheetml/2006/main" count="4494" uniqueCount="2206">
  <si>
    <t xml:space="preserve"> </t>
  </si>
  <si>
    <t>Detalle cuenta</t>
  </si>
  <si>
    <t>Tasa</t>
  </si>
  <si>
    <t>EA</t>
  </si>
  <si>
    <t>Totales</t>
  </si>
  <si>
    <t>Cartera Contable</t>
  </si>
  <si>
    <t>% Castigo</t>
  </si>
  <si>
    <t>Deterioro</t>
  </si>
  <si>
    <t>Total Inventarios</t>
  </si>
  <si>
    <t>Muebles y enseres</t>
  </si>
  <si>
    <t>Total PPYE</t>
  </si>
  <si>
    <t>Gastos pagados por anticipado</t>
  </si>
  <si>
    <t>Reservas</t>
  </si>
  <si>
    <t>Intangibles</t>
  </si>
  <si>
    <t>Utilidad  del ejercicio</t>
  </si>
  <si>
    <t>Resultados de ejercicios anteriores</t>
  </si>
  <si>
    <t>Propiedad, planta y equipo</t>
  </si>
  <si>
    <t>Pasivos</t>
  </si>
  <si>
    <t>Obligaciones financieras</t>
  </si>
  <si>
    <t>Patrimonio</t>
  </si>
  <si>
    <t xml:space="preserve">Ajustes </t>
  </si>
  <si>
    <t>Detalle</t>
  </si>
  <si>
    <t>Retención en la fuente</t>
  </si>
  <si>
    <t>Saldo cartera</t>
  </si>
  <si>
    <t>Industria y comercio por pagar</t>
  </si>
  <si>
    <t xml:space="preserve">Litigios y demandas </t>
  </si>
  <si>
    <t>Resumen de litigios y demandas</t>
  </si>
  <si>
    <t>Demandas laborales</t>
  </si>
  <si>
    <t>Flujo de pagos estimados</t>
  </si>
  <si>
    <t>Año 1</t>
  </si>
  <si>
    <t>Año 2</t>
  </si>
  <si>
    <t>Año 3</t>
  </si>
  <si>
    <t>Año 4</t>
  </si>
  <si>
    <t>Año 5</t>
  </si>
  <si>
    <t>Vr Nominal</t>
  </si>
  <si>
    <t>Base fiscal</t>
  </si>
  <si>
    <t>Detalle de cuenta</t>
  </si>
  <si>
    <t>Diferencia Temporaria</t>
  </si>
  <si>
    <t>Empresa LVG</t>
  </si>
  <si>
    <t>Capital suscrito y pagado</t>
  </si>
  <si>
    <t xml:space="preserve">Avances para gastos de viaje </t>
  </si>
  <si>
    <t>Saldo a favor IVA</t>
  </si>
  <si>
    <t>Flujo</t>
  </si>
  <si>
    <t>Intereses</t>
  </si>
  <si>
    <t>VNR</t>
  </si>
  <si>
    <t>Subtotal Inversiones</t>
  </si>
  <si>
    <t>Vr Bolsa BVC</t>
  </si>
  <si>
    <t>Amortización</t>
  </si>
  <si>
    <t>Saldo</t>
  </si>
  <si>
    <t>Proveedores</t>
  </si>
  <si>
    <t>Nombre del empleado</t>
  </si>
  <si>
    <t>Vacaciones</t>
  </si>
  <si>
    <t>Ingreso</t>
  </si>
  <si>
    <t>Revalorización patrimonio</t>
  </si>
  <si>
    <t>Total activos</t>
  </si>
  <si>
    <t>Total pasivos</t>
  </si>
  <si>
    <t>Total pasivos y patrimonio</t>
  </si>
  <si>
    <t>Total</t>
  </si>
  <si>
    <t>Estado de situación financiera</t>
  </si>
  <si>
    <t>Propiedades de inversión</t>
  </si>
  <si>
    <t>Origen</t>
  </si>
  <si>
    <t>Activo x impuestos diferidos</t>
  </si>
  <si>
    <t>Pasivos x impuestos diferidos</t>
  </si>
  <si>
    <t>Materia prima</t>
  </si>
  <si>
    <t>Productos terminados</t>
  </si>
  <si>
    <t>Pasivos por provisiones</t>
  </si>
  <si>
    <t>Cesantías</t>
  </si>
  <si>
    <t>Int cesantías</t>
  </si>
  <si>
    <t>Leonardo</t>
  </si>
  <si>
    <t>Esther</t>
  </si>
  <si>
    <t>Pérdidas fiscales x compensar</t>
  </si>
  <si>
    <t>Exceso de presuntiva sobre renta líquida</t>
  </si>
  <si>
    <t>Activos biológicos</t>
  </si>
  <si>
    <t>leovarong@yahoo.com</t>
  </si>
  <si>
    <t>Impuesto de renta por pagar</t>
  </si>
  <si>
    <t>Parafiscales por pagar</t>
  </si>
  <si>
    <t>Interés</t>
  </si>
  <si>
    <t>NIIF</t>
  </si>
  <si>
    <t>Instrumentos de patrimonio</t>
  </si>
  <si>
    <t>Arrendamientos</t>
  </si>
  <si>
    <t>Aportes pensión</t>
  </si>
  <si>
    <t>Costo</t>
  </si>
  <si>
    <t>Periodos pagos</t>
  </si>
  <si>
    <t>Corte</t>
  </si>
  <si>
    <t>Sueldo base esperado</t>
  </si>
  <si>
    <t>Pasivo</t>
  </si>
  <si>
    <t>Calculo del deterioro de cartera- NIIF</t>
  </si>
  <si>
    <t>Valor NIIF</t>
  </si>
  <si>
    <t>Cuenta cte. Banco Bogotá</t>
  </si>
  <si>
    <t>Cuenta cte. Bancolombia</t>
  </si>
  <si>
    <t>Ir al balance</t>
  </si>
  <si>
    <t>Consultas mail</t>
  </si>
  <si>
    <t>Anexo - deudores y cuentas por cobrar</t>
  </si>
  <si>
    <t>Anexo - inventarios</t>
  </si>
  <si>
    <t>Desglose de la materia prima</t>
  </si>
  <si>
    <t>Desglose de productos terminados</t>
  </si>
  <si>
    <t>Desglose de las inversiones en acciones y cuotas partes</t>
  </si>
  <si>
    <t>Ajustes sugeridos NIIF</t>
  </si>
  <si>
    <t>Anexo - Propiedad, planta y equipo</t>
  </si>
  <si>
    <t xml:space="preserve">Desglose de bases fiscales de PPYE </t>
  </si>
  <si>
    <t>Ganancia Ocasional</t>
  </si>
  <si>
    <t>Anexo - Gastos pagados por anticipado, Cargos diferidos e Intangibles</t>
  </si>
  <si>
    <t>Desglose de gastos pagados por anticipado</t>
  </si>
  <si>
    <t>Anexo - Pasivos</t>
  </si>
  <si>
    <t>Desglose de obligaciones financieras</t>
  </si>
  <si>
    <t>Tabla de amortización remedida por costos por préstamos</t>
  </si>
  <si>
    <t>Periodo</t>
  </si>
  <si>
    <t>Tabla de amortización entidad financiera</t>
  </si>
  <si>
    <t>Amortización costos por préstamos</t>
  </si>
  <si>
    <t>Cuota préstamo</t>
  </si>
  <si>
    <t xml:space="preserve">Tasa </t>
  </si>
  <si>
    <t xml:space="preserve">Desglose de provisiones </t>
  </si>
  <si>
    <t>Desglose de pasivos estimados y provisiones</t>
  </si>
  <si>
    <t>Anexo - obligaciones laborales (prestaciones sociales)</t>
  </si>
  <si>
    <t>Cálculo bajo NIIF- obligaciones laborales</t>
  </si>
  <si>
    <t>Anexo - Impuestos diferidos</t>
  </si>
  <si>
    <t>Días</t>
  </si>
  <si>
    <t>Días a pagar</t>
  </si>
  <si>
    <t>Valor día</t>
  </si>
  <si>
    <t>Medición NIIF</t>
  </si>
  <si>
    <t>Prueba</t>
  </si>
  <si>
    <t>Desglose de intangibles</t>
  </si>
  <si>
    <t>Importe en libros (NIIF)</t>
  </si>
  <si>
    <t>Si es imponible, ponemos menos</t>
  </si>
  <si>
    <t>Si es deducible colocamos más</t>
  </si>
  <si>
    <t>Renta</t>
  </si>
  <si>
    <t>Ingresos financieros</t>
  </si>
  <si>
    <t>Pasivos por impuestos diferidos</t>
  </si>
  <si>
    <t>Cuentas por cobrar clientes</t>
  </si>
  <si>
    <t>TIR</t>
  </si>
  <si>
    <t>Carteras colectivas</t>
  </si>
  <si>
    <t>Aportes salud y ARL</t>
  </si>
  <si>
    <t>Azúcar</t>
  </si>
  <si>
    <t>Agua tratada</t>
  </si>
  <si>
    <t>Gas carbónico</t>
  </si>
  <si>
    <t>Valor de mercado</t>
  </si>
  <si>
    <t>Cantidad</t>
  </si>
  <si>
    <t>Costo unitario</t>
  </si>
  <si>
    <t>Precio de venta</t>
  </si>
  <si>
    <t>Comisión ventas</t>
  </si>
  <si>
    <t>Crédito mercantil</t>
  </si>
  <si>
    <t>Inversiones en asociadas</t>
  </si>
  <si>
    <t>Inversiones en negocios conjuntos</t>
  </si>
  <si>
    <t>Inventarios</t>
  </si>
  <si>
    <t>Activos por impuestos diferidos</t>
  </si>
  <si>
    <t>Otras reservas</t>
  </si>
  <si>
    <t>Otros ingresos</t>
  </si>
  <si>
    <t>Fecha</t>
  </si>
  <si>
    <t>Tasa de descuento  11 % EA</t>
  </si>
  <si>
    <t>Costo de ventas</t>
  </si>
  <si>
    <t>Otros gastos</t>
  </si>
  <si>
    <t>Gastos financieros</t>
  </si>
  <si>
    <t>Resultado por impuestos a las ganancias</t>
  </si>
  <si>
    <t>Resultado del ejercicio</t>
  </si>
  <si>
    <t>Diferencia en cambio</t>
  </si>
  <si>
    <t>Grupo Aval- preferencial (0.0094%)</t>
  </si>
  <si>
    <t>Bebida 350 cc</t>
  </si>
  <si>
    <t>Bebida no retornable</t>
  </si>
  <si>
    <t>Bebida 1 Lt</t>
  </si>
  <si>
    <t>Bebida 2 Lt</t>
  </si>
  <si>
    <t>Bebida 3 Lt</t>
  </si>
  <si>
    <t>Bebida 250 cc</t>
  </si>
  <si>
    <t>Tractomula arrendada a empresa de transportes</t>
  </si>
  <si>
    <t>Terreno, explotado como parqueadero</t>
  </si>
  <si>
    <t xml:space="preserve">Maquina </t>
  </si>
  <si>
    <t>Ejemplo 10 cartilla modulo 28</t>
  </si>
  <si>
    <t>Importes en libros (ILA-ILP)</t>
  </si>
  <si>
    <t>Clasificación diferencia temporaria</t>
  </si>
  <si>
    <t>Débito</t>
  </si>
  <si>
    <t>Crédito</t>
  </si>
  <si>
    <t>Derivados financieros</t>
  </si>
  <si>
    <t>PV - CV</t>
  </si>
  <si>
    <t>CV = GV</t>
  </si>
  <si>
    <t>ICA</t>
  </si>
  <si>
    <t>Comisión</t>
  </si>
  <si>
    <t>Flete - en algunos casos</t>
  </si>
  <si>
    <t>NIC 37</t>
  </si>
  <si>
    <t>Saldo final</t>
  </si>
  <si>
    <t>Cuentas de resultado</t>
  </si>
  <si>
    <t>Ingresos y ganancias</t>
  </si>
  <si>
    <t>Devoluciones en ventas</t>
  </si>
  <si>
    <t>Resultado por variación del valor razonable de activos financieros</t>
  </si>
  <si>
    <t>Resultado por variación del valor razonable de propiedades de inversión</t>
  </si>
  <si>
    <t>Descuentos comerciales condicionados</t>
  </si>
  <si>
    <t>Dividendos</t>
  </si>
  <si>
    <t>Costos, gastos y pérdidas</t>
  </si>
  <si>
    <t>Gastos de personal</t>
  </si>
  <si>
    <t>Impuesto a la riqueza</t>
  </si>
  <si>
    <t>Mantenimientos</t>
  </si>
  <si>
    <t>Pólizas y seguros</t>
  </si>
  <si>
    <t>Amortización intangibles</t>
  </si>
  <si>
    <t>Deterioro de cuentas por cobrar</t>
  </si>
  <si>
    <t>Gasto impuesto ganancias diferido</t>
  </si>
  <si>
    <t>Utilidad del ejercicio</t>
  </si>
  <si>
    <t>Construcciones Lvg SAS (40%)</t>
  </si>
  <si>
    <t>Acuerdo de reestructuración, valor a pagar a cinco años, financiación cero</t>
  </si>
  <si>
    <t>Cliente con problemas financieros, se espera que no exista recuperación</t>
  </si>
  <si>
    <t xml:space="preserve">Subtotal Inversiones </t>
  </si>
  <si>
    <t>Valor razonable, a resultados</t>
  </si>
  <si>
    <t>NIIF 1</t>
  </si>
  <si>
    <t>Exenciones</t>
  </si>
  <si>
    <t>Excepciones</t>
  </si>
  <si>
    <t>Obligatoria</t>
  </si>
  <si>
    <t>forma retroactiva</t>
  </si>
  <si>
    <t>Opcionales</t>
  </si>
  <si>
    <t>podrá</t>
  </si>
  <si>
    <t>ILA</t>
  </si>
  <si>
    <t>Inventario - deterioro</t>
  </si>
  <si>
    <t>PPYE</t>
  </si>
  <si>
    <t>Gastos de registro de la marca</t>
  </si>
  <si>
    <t>Servicios de construcción</t>
  </si>
  <si>
    <t>Pasivo financiero- costos de transacción</t>
  </si>
  <si>
    <t>Bancos</t>
  </si>
  <si>
    <t>Imponible</t>
  </si>
  <si>
    <t>Deducible</t>
  </si>
  <si>
    <t>Cuentas por cobrar clientes Jeulet Pakard SA</t>
  </si>
  <si>
    <t xml:space="preserve">Autorretención de retefuente </t>
  </si>
  <si>
    <t>Cuentas por cobrar clientes Grupo Nulle SA</t>
  </si>
  <si>
    <t>Gastos de viajes</t>
  </si>
  <si>
    <t>Edificación - Producción</t>
  </si>
  <si>
    <t>Terreno 1- Producción</t>
  </si>
  <si>
    <t>CP depreciación</t>
  </si>
  <si>
    <t>Gastos legales</t>
  </si>
  <si>
    <t>Costos de producción</t>
  </si>
  <si>
    <t>CP reclasificación a costos de ventas</t>
  </si>
  <si>
    <t>CP materias primas</t>
  </si>
  <si>
    <t>CP seguros</t>
  </si>
  <si>
    <t xml:space="preserve">Gasto por arrendamientos </t>
  </si>
  <si>
    <t>Gastos por suscripciones</t>
  </si>
  <si>
    <t>Gasto por amortización de diferidos</t>
  </si>
  <si>
    <t>Gastos por honorarios</t>
  </si>
  <si>
    <t>Gastos por servicios</t>
  </si>
  <si>
    <t>Gastos de combustibles y otros</t>
  </si>
  <si>
    <t>CP servicios de personal temporal</t>
  </si>
  <si>
    <t>Valor razonable</t>
  </si>
  <si>
    <t>Variación</t>
  </si>
  <si>
    <t>Gastos por depreciaciones</t>
  </si>
  <si>
    <t>Anexo - derivados financieros mantenidos por la entidad</t>
  </si>
  <si>
    <t>Sin efecto fiscal futuro, por ser INCRNGO</t>
  </si>
  <si>
    <t xml:space="preserve">Cta Banco Miami </t>
  </si>
  <si>
    <t xml:space="preserve">Swap </t>
  </si>
  <si>
    <t>Non deliverable forward</t>
  </si>
  <si>
    <t>Derivado</t>
  </si>
  <si>
    <t>Monto nocional</t>
  </si>
  <si>
    <t>a tres meses</t>
  </si>
  <si>
    <t>a seis meses</t>
  </si>
  <si>
    <t xml:space="preserve">NC 4- reconocimiento de derivados financieros </t>
  </si>
  <si>
    <t>La entidad mantiene un CDT con una entidad financiera a siete años</t>
  </si>
  <si>
    <t>bajo las siguientes condiciones:</t>
  </si>
  <si>
    <t>Valor nominal</t>
  </si>
  <si>
    <t xml:space="preserve">Pago de intereses </t>
  </si>
  <si>
    <t>Anuales</t>
  </si>
  <si>
    <t>Fecha de emisión</t>
  </si>
  <si>
    <t>Inversiones en CDT</t>
  </si>
  <si>
    <t>Préstamos a asociadas</t>
  </si>
  <si>
    <t xml:space="preserve">Cálculo importe recuperable </t>
  </si>
  <si>
    <t>Prestamos gerente</t>
  </si>
  <si>
    <t>Semovientes</t>
  </si>
  <si>
    <t>Edad</t>
  </si>
  <si>
    <t xml:space="preserve">Terneros </t>
  </si>
  <si>
    <t xml:space="preserve">6 - 12 meses </t>
  </si>
  <si>
    <t xml:space="preserve">Toretes </t>
  </si>
  <si>
    <t xml:space="preserve">12 - 24 meses </t>
  </si>
  <si>
    <t xml:space="preserve">Toros reproductores </t>
  </si>
  <si>
    <t xml:space="preserve">2 años en adelante </t>
  </si>
  <si>
    <t xml:space="preserve">Machos levante </t>
  </si>
  <si>
    <t xml:space="preserve">8 - 12 meses </t>
  </si>
  <si>
    <t>NC 7- remedición del inventario por el menor entre el costo y el valor neto de realización</t>
  </si>
  <si>
    <t>NC 8- remedición de semovientes al valor razonable</t>
  </si>
  <si>
    <t>Suscripciones a revistas</t>
  </si>
  <si>
    <t xml:space="preserve">Pólizas de seguros - todo riesgo </t>
  </si>
  <si>
    <t>Base Fiscal (BFA-BFP)</t>
  </si>
  <si>
    <t>Impuestos diferidos</t>
  </si>
  <si>
    <t>Impuesto diferido</t>
  </si>
  <si>
    <t>Venta de gaseosas</t>
  </si>
  <si>
    <t>Venta de ganado y productos agropecuarios</t>
  </si>
  <si>
    <t>Variación del valor razonable de activos biológicos</t>
  </si>
  <si>
    <t>Resultado en venta de propiedades</t>
  </si>
  <si>
    <t>Impuesto industria y comercio</t>
  </si>
  <si>
    <t>Impuesto predial</t>
  </si>
  <si>
    <t>GMF</t>
  </si>
  <si>
    <t>Costo de venta de bienes</t>
  </si>
  <si>
    <t>Costo productos agropecuarios</t>
  </si>
  <si>
    <t>Gastos por demandas</t>
  </si>
  <si>
    <t>Deterioro de inventarios</t>
  </si>
  <si>
    <t>Gastos bancarios y comisiones</t>
  </si>
  <si>
    <t>Gasto impuesto ganancias corriente</t>
  </si>
  <si>
    <t>Ecopetrol SA (0,000005%)</t>
  </si>
  <si>
    <t>Saldo anterior</t>
  </si>
  <si>
    <t>Saldo inicial</t>
  </si>
  <si>
    <t>Compras</t>
  </si>
  <si>
    <t>Nacimientos</t>
  </si>
  <si>
    <t>Muertes</t>
  </si>
  <si>
    <t>Saldo inicial NIIF</t>
  </si>
  <si>
    <t>Depreciación del periodo</t>
  </si>
  <si>
    <t>Registro de ventas en el periodo</t>
  </si>
  <si>
    <t>Ventas (costo)</t>
  </si>
  <si>
    <t>Nacimientos 2015</t>
  </si>
  <si>
    <t>Muertes 2015</t>
  </si>
  <si>
    <t>Total ajustes 2015</t>
  </si>
  <si>
    <t>Devoluciones en ventas de gaseosas</t>
  </si>
  <si>
    <t>Retenciones y autorretenciones</t>
  </si>
  <si>
    <t>Recibos de caja saldos año anterior</t>
  </si>
  <si>
    <t>Intereses carteras colectivas</t>
  </si>
  <si>
    <t>Dividendos recibidos</t>
  </si>
  <si>
    <t>Dividendos grupo aval</t>
  </si>
  <si>
    <t>Dividendos construcciones lvg</t>
  </si>
  <si>
    <t>Intereses recibidos CDT</t>
  </si>
  <si>
    <t>Intereses CDT</t>
  </si>
  <si>
    <t>Movimientos en cuentas por cobrar</t>
  </si>
  <si>
    <t>Legalización gastos año anterior</t>
  </si>
  <si>
    <t>Anticipos nuevo año</t>
  </si>
  <si>
    <t>Compra de un terreno para arrendar a terceros</t>
  </si>
  <si>
    <t>Impuesto sobre las ventas - IVA</t>
  </si>
  <si>
    <t>Imputación saldo a favor periodos anteriores</t>
  </si>
  <si>
    <t>Pago cuota del préstamo del gerente</t>
  </si>
  <si>
    <t>Saldos iniciales</t>
  </si>
  <si>
    <t>Compras y costos</t>
  </si>
  <si>
    <t>Gasto</t>
  </si>
  <si>
    <t>Saldos finales</t>
  </si>
  <si>
    <t>Costos de ventas</t>
  </si>
  <si>
    <t>Registro de costos de producción</t>
  </si>
  <si>
    <t>Reversión saldos iniciales</t>
  </si>
  <si>
    <t>Saldos finales s/n inventario</t>
  </si>
  <si>
    <t>CP Materia prima</t>
  </si>
  <si>
    <t>Compras del periodo</t>
  </si>
  <si>
    <t>Variación MP</t>
  </si>
  <si>
    <t>Variación ganado</t>
  </si>
  <si>
    <t>Registro de costos de actividades agropecuarias</t>
  </si>
  <si>
    <t>Determinación de los costos de producción en venta de gaseosas</t>
  </si>
  <si>
    <t>Variación valor razonable</t>
  </si>
  <si>
    <t>Iva descontable en compras</t>
  </si>
  <si>
    <t>Iva en ventas</t>
  </si>
  <si>
    <t>Compra ganado</t>
  </si>
  <si>
    <t>Ventas de ganado - a precio de costo</t>
  </si>
  <si>
    <t>Registro de depreciaciones</t>
  </si>
  <si>
    <t>Registro de gastos pagados por anticipado</t>
  </si>
  <si>
    <t>Gastos por arrendamiento</t>
  </si>
  <si>
    <t>Gastos por seguros</t>
  </si>
  <si>
    <t>Registro de amortización de intangibles</t>
  </si>
  <si>
    <t>Amortización del periodo</t>
  </si>
  <si>
    <t>Registro de pagos crédito entidad financiera</t>
  </si>
  <si>
    <t>Registro de pagos de cuentas por pagar</t>
  </si>
  <si>
    <t>IVA pagado en el periodo</t>
  </si>
  <si>
    <t>Pagado en declaraciones del año</t>
  </si>
  <si>
    <t>Registro de pagos por obligaciones laborales</t>
  </si>
  <si>
    <t>Demandas</t>
  </si>
  <si>
    <t>Demanda 1</t>
  </si>
  <si>
    <t>Demanda 2</t>
  </si>
  <si>
    <t>Demanda 3</t>
  </si>
  <si>
    <t>Demanda 4</t>
  </si>
  <si>
    <t>VNA inicial</t>
  </si>
  <si>
    <t>Monto inicial nominal</t>
  </si>
  <si>
    <t>Actualización financiera</t>
  </si>
  <si>
    <t>VNA Final</t>
  </si>
  <si>
    <t>Demanda 5</t>
  </si>
  <si>
    <t>Variación estimación nominal</t>
  </si>
  <si>
    <t>Variación estimación NIIF</t>
  </si>
  <si>
    <t>Pagos a terceros</t>
  </si>
  <si>
    <t>Nominal final</t>
  </si>
  <si>
    <t>Registro de provisiones por demandas</t>
  </si>
  <si>
    <t>Pago demandas</t>
  </si>
  <si>
    <t>Nuevas mediciones</t>
  </si>
  <si>
    <t>Ok debe ser cero</t>
  </si>
  <si>
    <t>Causación</t>
  </si>
  <si>
    <t>Movimiento de patrimonio</t>
  </si>
  <si>
    <t>Registro gastos del periodo y otros ingresos</t>
  </si>
  <si>
    <t>CP otros CIF</t>
  </si>
  <si>
    <t>Movimientos en deterioro de cuentas por cobrar</t>
  </si>
  <si>
    <t>Gasto fiscal por deterioro del periodo</t>
  </si>
  <si>
    <t>Gasto NIIF del periodo deterioro</t>
  </si>
  <si>
    <t>Contable</t>
  </si>
  <si>
    <t>Fiscal</t>
  </si>
  <si>
    <t>Anexo - Impuestos a las ganancias corriente</t>
  </si>
  <si>
    <t>No deducible</t>
  </si>
  <si>
    <t>No deducible algunos intereses</t>
  </si>
  <si>
    <t>Sin efecto fiscal</t>
  </si>
  <si>
    <t>Compensación de exceso de renta presuntiva</t>
  </si>
  <si>
    <t>Compensación de pérdidas fiscales</t>
  </si>
  <si>
    <t>Renta líquida</t>
  </si>
  <si>
    <t>Estimación impuesto a las ganancias</t>
  </si>
  <si>
    <t xml:space="preserve">Renta presuntiva </t>
  </si>
  <si>
    <t>Estimación impuesto a las ganancias corriente</t>
  </si>
  <si>
    <t>Retenciones del periodo</t>
  </si>
  <si>
    <t>Registros contables ajustes a NIIF</t>
  </si>
  <si>
    <t>Resultado por variación del valor razonable de propiedades de derivados financieros</t>
  </si>
  <si>
    <t>Redención de derivados financieros</t>
  </si>
  <si>
    <t>Ingresos forward y swap por liquidación</t>
  </si>
  <si>
    <t>Efecto del periodo actual</t>
  </si>
  <si>
    <t>NC 14- remedición del pasivo financiero al costo amortizado usando el método de la tasa efectiva</t>
  </si>
  <si>
    <t>NC 16- remedición de pasivos por provisiones</t>
  </si>
  <si>
    <t>Gastos financieros - costos de transacción</t>
  </si>
  <si>
    <t>Intereses- actualización de provisiones</t>
  </si>
  <si>
    <t>Remedición del gasto</t>
  </si>
  <si>
    <t>NC 18- reconocimiento de variaciones de valor razonable de propiedades de inversión</t>
  </si>
  <si>
    <t>NC 19- reconocimiento de impuesto diferido por diferencias temporarias</t>
  </si>
  <si>
    <t>Costos por garantías</t>
  </si>
  <si>
    <t>Gastos por papelería</t>
  </si>
  <si>
    <t>Cuentas por cobrar clientes Almacén Jexito SA</t>
  </si>
  <si>
    <t>Compra acciones Ecopetrol</t>
  </si>
  <si>
    <t>Registro de provisiones por garantías</t>
  </si>
  <si>
    <t>Garantías</t>
  </si>
  <si>
    <t>Garantías pagadas a terceros</t>
  </si>
  <si>
    <t xml:space="preserve">Prohibición a aplicar una política de </t>
  </si>
  <si>
    <t>Tasa de interés</t>
  </si>
  <si>
    <t>Imp. Rec</t>
  </si>
  <si>
    <t>Categoría</t>
  </si>
  <si>
    <t>Causaciones garantías</t>
  </si>
  <si>
    <t>Redenciones de garantías</t>
  </si>
  <si>
    <t>NC 1- Medición al valor razonable los instrumentos de patrimonio, y eliminación de valorizaciones y superávit</t>
  </si>
  <si>
    <t>Clasificación DT</t>
  </si>
  <si>
    <t>Tasa de descuento  12 % EA</t>
  </si>
  <si>
    <t>Demanda 7 nuevo</t>
  </si>
  <si>
    <t>año 1</t>
  </si>
  <si>
    <t>año 2</t>
  </si>
  <si>
    <t>año 3</t>
  </si>
  <si>
    <t>año 4</t>
  </si>
  <si>
    <t>año 5</t>
  </si>
  <si>
    <t>Demanda 7 new</t>
  </si>
  <si>
    <t>Demanda 6 nueva</t>
  </si>
  <si>
    <t>Año 6</t>
  </si>
  <si>
    <t>Demanda 6 new</t>
  </si>
  <si>
    <t>NC 1- Medición al valor razonable los instrumentos de patrimonio</t>
  </si>
  <si>
    <t xml:space="preserve">NC 3- reconocimiento de derivados financieros </t>
  </si>
  <si>
    <t>Saldo nuevo</t>
  </si>
  <si>
    <t>ESTADO DE SITUACIÓN FINANCIERA</t>
  </si>
  <si>
    <t>A diciembre 31 de</t>
  </si>
  <si>
    <t>A enero 1 de</t>
  </si>
  <si>
    <t xml:space="preserve">Inventarios </t>
  </si>
  <si>
    <t xml:space="preserve">Otros activos financieros </t>
  </si>
  <si>
    <t>Total activos corrientes</t>
  </si>
  <si>
    <t>Propiedades, planta y equipo</t>
  </si>
  <si>
    <t>Propiedad de inversión</t>
  </si>
  <si>
    <t>Activos biológicos, al valor razonable</t>
  </si>
  <si>
    <t>Total de activos no corrientes</t>
  </si>
  <si>
    <t>Total de activos</t>
  </si>
  <si>
    <t>Cuentas por pagar</t>
  </si>
  <si>
    <t>Total pasivos corrientes</t>
  </si>
  <si>
    <t>Pasivo por impuestos diferidos</t>
  </si>
  <si>
    <t xml:space="preserve">Otros pasivos financieros </t>
  </si>
  <si>
    <t>Total de pasivos no corrientes</t>
  </si>
  <si>
    <t>Capital emitido</t>
  </si>
  <si>
    <t>Ganancias acumuladas</t>
  </si>
  <si>
    <t>Total Patrimonio</t>
  </si>
  <si>
    <t>Total patrimonio y pasivos</t>
  </si>
  <si>
    <t>ESTADO DEL RESULTADO INTEGRAL</t>
  </si>
  <si>
    <t>Ingresos de actividades ordinarias</t>
  </si>
  <si>
    <t>Ganancia bruta</t>
  </si>
  <si>
    <t>Gastos de la operación</t>
  </si>
  <si>
    <t>Ganancia operacional</t>
  </si>
  <si>
    <t>Otras ganancias (pérdidas)</t>
  </si>
  <si>
    <t>Ganancia antes de impuestos</t>
  </si>
  <si>
    <t>Ganancia (pérdida)</t>
  </si>
  <si>
    <t>ESTADO DE CAMBIOS EN EL PATRIMONIO</t>
  </si>
  <si>
    <t>Ganancias (pérdidas) acumuladas</t>
  </si>
  <si>
    <t xml:space="preserve">Total patrimonio </t>
  </si>
  <si>
    <t>Ganancia neta del año</t>
  </si>
  <si>
    <t>Pago de dividendos</t>
  </si>
  <si>
    <t>Saldo inicial resultados acumulados</t>
  </si>
  <si>
    <t>Resultados periodo actual</t>
  </si>
  <si>
    <t>Saldo final resultados acumulados</t>
  </si>
  <si>
    <t>Dividendos pagados</t>
  </si>
  <si>
    <t>ESTADO DE FLUJOS DE EFECTIVO MÉTODO INDIRECTO</t>
  </si>
  <si>
    <t>ACTIVIDADES OPERACIONALES</t>
  </si>
  <si>
    <t>Partidas que no afectan el efectivo</t>
  </si>
  <si>
    <t>Ajustes por gastos de depreciación y amortización</t>
  </si>
  <si>
    <t>Ajustes por deterioro de valor (reversiones de pérdidas por deterioro de valor) reconocidas en el resultado del periodo</t>
  </si>
  <si>
    <t>Ajustes por resultado del método de participación</t>
  </si>
  <si>
    <t>Ajustes por pérdidas (ganancias) del valor razonable</t>
  </si>
  <si>
    <t>Cambio neto en activos y pasivos operacionales</t>
  </si>
  <si>
    <t>Ajustes por disminuciones (incrementos) en los inventarios</t>
  </si>
  <si>
    <t>Ajustes por la disminución (incremento) de cuentas por cobrar de origen comercial</t>
  </si>
  <si>
    <t>Ajustes por disminuciones (incrementos) en otras cuentas por cobrar derivadas de las actividades de operación</t>
  </si>
  <si>
    <t>Ajustes por el incremento (disminución) de cuentas por pagar de origen comercial</t>
  </si>
  <si>
    <t>SF - SI</t>
  </si>
  <si>
    <t>Gasto por impuestos a las ganancias</t>
  </si>
  <si>
    <t>Total con ajustes para conciliar la ganancia (pérdida)</t>
  </si>
  <si>
    <t>Variación del activo por impuestos diferido</t>
  </si>
  <si>
    <t>Impuestos a las ganancias reembolsados (pagados)</t>
  </si>
  <si>
    <t>Variación del pasivo por impuesto corriente</t>
  </si>
  <si>
    <t>Flujos de efectivo netos procedentes de (utilizados en) actividades de operación</t>
  </si>
  <si>
    <t>Variación del pasivo por impuesto diferido</t>
  </si>
  <si>
    <t>ACTIVIDADES DE INVERSIÓN</t>
  </si>
  <si>
    <t>Importes procedentes de la venta de propiedades, planta y equipo</t>
  </si>
  <si>
    <t>Compras de propiedades, planta y equipo y propiedades de inversión</t>
  </si>
  <si>
    <t>Compras de activos intangibles</t>
  </si>
  <si>
    <t>Flujos de efectivo netos procedentes de (utilizados en) actividades de inversión</t>
  </si>
  <si>
    <t>ACTIVIDADES DE FINANCIACIÓN</t>
  </si>
  <si>
    <t>Importes procedentes de la emisión de acciones</t>
  </si>
  <si>
    <t>Importes procedentes de préstamos</t>
  </si>
  <si>
    <t>Reembolsos de préstamos</t>
  </si>
  <si>
    <t>Pagos de pasivos por arrendamientos financieros</t>
  </si>
  <si>
    <t>Otras entradas (salidas) de efectivo</t>
  </si>
  <si>
    <t>Flujos de efectivo netos procedentes de (utilizados en) actividades de financiación</t>
  </si>
  <si>
    <t>Incremento (disminución) neto de efectivo y equivalentes al efectivo</t>
  </si>
  <si>
    <t>Efectivo y equivalentes al efectivo al principio del periodo</t>
  </si>
  <si>
    <t>Efectivo y equivalentes al efectivo al final del periodo</t>
  </si>
  <si>
    <t>Compras de PPYE</t>
  </si>
  <si>
    <t>Gastos de administración</t>
  </si>
  <si>
    <t>Variación de cuentas por pagar</t>
  </si>
  <si>
    <t>Gasto por deterioro de cuentas por cobrar</t>
  </si>
  <si>
    <t>Variación del valor razonable de instrumentos de patrimonio</t>
  </si>
  <si>
    <t>Gasto por amortización de intangibles</t>
  </si>
  <si>
    <t>Préstamos tomados o pagados</t>
  </si>
  <si>
    <t>Resultados del ejercicio</t>
  </si>
  <si>
    <t>Resultado por variación del valor razonable de derivados financieros</t>
  </si>
  <si>
    <t>Variación del periodo</t>
  </si>
  <si>
    <t>Se da de baja el costo del activo</t>
  </si>
  <si>
    <t>Se da de baja la depreciación del activo</t>
  </si>
  <si>
    <t>Utilidad en venta de activos fijos</t>
  </si>
  <si>
    <t>Actualización financiera, por el VNA</t>
  </si>
  <si>
    <t xml:space="preserve">Nuevas demandas </t>
  </si>
  <si>
    <t>reversión del gasto norma local</t>
  </si>
  <si>
    <t>NC 6- remedición del inventario por el menor entre el costo y el valor neto de realización</t>
  </si>
  <si>
    <t>NC 7- remedición de semovientes al valor razonable</t>
  </si>
  <si>
    <t>NC 10- remedición del pasivo financiero al costo amortizado usando el método de la tasa efectiva</t>
  </si>
  <si>
    <t>NC 12- remedición de pasivos por provisiones</t>
  </si>
  <si>
    <t>NC 14- reconocimiento de variaciones de valor razonable de propiedades de inversión</t>
  </si>
  <si>
    <t>NC 16- reconocimiento de impuesto diferido por diferencias temporarias</t>
  </si>
  <si>
    <t>Venta vehículo arrendado - por parte de la empresa en $120 millones de pesos</t>
  </si>
  <si>
    <t>Nuevo saldo</t>
  </si>
  <si>
    <t>Variación impuesto diferido</t>
  </si>
  <si>
    <t>Resultado por impuestos de renta</t>
  </si>
  <si>
    <t>La variación se debe a:</t>
  </si>
  <si>
    <t>Compras de instrumentos de patrimonio o instrumentos de deuda de otras entidades</t>
  </si>
  <si>
    <t>Actividades de operación flujo de efectivo método indirecto</t>
  </si>
  <si>
    <t>Gasto por depreciación cuenta 5160</t>
  </si>
  <si>
    <t>Costos de producción depreciación</t>
  </si>
  <si>
    <t>Gasto por deterioro cuentas por cobrar</t>
  </si>
  <si>
    <t>Costos deterioro de inventarios</t>
  </si>
  <si>
    <t>Ingreso recuperación deterioro CXC</t>
  </si>
  <si>
    <t>Variación del VR de derivados financieros</t>
  </si>
  <si>
    <t>Variación del VR de activos financieros</t>
  </si>
  <si>
    <t>Variación del VR de propiedades de inversión</t>
  </si>
  <si>
    <t>Variación VR de activos biológicos</t>
  </si>
  <si>
    <t>Variación de los inventarios (SF-SI)</t>
  </si>
  <si>
    <t>Menos costos por deterioro de inventarios</t>
  </si>
  <si>
    <t>Variación de CXC clientes (SF-SI)</t>
  </si>
  <si>
    <t>Mas ingresos por recuperación deterioro</t>
  </si>
  <si>
    <t>Variación de otras CXC (SF-SI)</t>
  </si>
  <si>
    <t>Variación activos biológicos (SF-SI)</t>
  </si>
  <si>
    <t>Variación de activos por impuesto corriente</t>
  </si>
  <si>
    <t>Actividades de inversión</t>
  </si>
  <si>
    <t>Venta de instrumentos de patrimonio o instrumentos de deuda de otras entidades</t>
  </si>
  <si>
    <t>Variación del valor razonable de derivados financieros</t>
  </si>
  <si>
    <t>Variaciones de Propiedad, planta y equipo</t>
  </si>
  <si>
    <t>Variación propiedad, planta y equipo (SF-SI)</t>
  </si>
  <si>
    <t>Menos gasto por depreciación</t>
  </si>
  <si>
    <t>Menos costos depreciación</t>
  </si>
  <si>
    <t>Menos costos depreciación mejoras propiedades</t>
  </si>
  <si>
    <t>Saldo final sin depreciación PPYE (sin PI)</t>
  </si>
  <si>
    <t>Saldo inicial sin depreciación PPYE (sin PI)</t>
  </si>
  <si>
    <t>Corresponde a venta de PPYE</t>
  </si>
  <si>
    <t>Variaciones de Propiedad de inversión</t>
  </si>
  <si>
    <t>Variación propiedades de inversión (SF-SI)</t>
  </si>
  <si>
    <t>Variación de intangibles (SF-SI)</t>
  </si>
  <si>
    <t>Variación de otros pasivos financieros (SF-SI)</t>
  </si>
  <si>
    <t>Variación de inversiones en asociadas (SF-SI)</t>
  </si>
  <si>
    <t>Dividendos recibidos de asociadas</t>
  </si>
  <si>
    <t>Variación de PPYE sin compras</t>
  </si>
  <si>
    <t>Saldo en entidades financieras</t>
  </si>
  <si>
    <t>Sobregiros bancarios</t>
  </si>
  <si>
    <t>Cuentas comerciales y otras cuentas por cobrar</t>
  </si>
  <si>
    <t>Gerente , sea socio o ni lo sea</t>
  </si>
  <si>
    <t>Parte relacionada</t>
  </si>
  <si>
    <t>Funcionarios claves de la empresa- gerente, miembros de la JD, gerente financiero y de mercadeo.</t>
  </si>
  <si>
    <t>Deudores comerciales</t>
  </si>
  <si>
    <t>Familiares crecanos a esos piscos</t>
  </si>
  <si>
    <t>Gerente controla una empresa</t>
  </si>
  <si>
    <t>Cuentas por cobrar a empleados</t>
  </si>
  <si>
    <t>Familiar cercano a un emp clave controla una empresa</t>
  </si>
  <si>
    <t>Cuentas por cobrar causadas</t>
  </si>
  <si>
    <t>Saldos a favor por impuesto a las ventas</t>
  </si>
  <si>
    <t>Cuentas por cobrar de terceros</t>
  </si>
  <si>
    <t>Cuentas por cobrar vencidas mayores a 90 días</t>
  </si>
  <si>
    <t>Anticipos</t>
  </si>
  <si>
    <t>Si se encuentran deterioradas o no</t>
  </si>
  <si>
    <t>Reclamaciones</t>
  </si>
  <si>
    <t>Deterioro de valor</t>
  </si>
  <si>
    <t>Total cuentas por cobrar</t>
  </si>
  <si>
    <t>El activo se clasifica como:</t>
  </si>
  <si>
    <t>Activo corriente</t>
  </si>
  <si>
    <t>Activo no corriente</t>
  </si>
  <si>
    <t xml:space="preserve">Total </t>
  </si>
  <si>
    <t xml:space="preserve">Detalle del deterioro de cuentas por cobrar a diciembre 31  </t>
  </si>
  <si>
    <t>Gasto por deterioro del periodo</t>
  </si>
  <si>
    <t xml:space="preserve">Recuperación deterioro </t>
  </si>
  <si>
    <t>Cartera dada de baja</t>
  </si>
  <si>
    <t>Verificación</t>
  </si>
  <si>
    <t>Materias primas</t>
  </si>
  <si>
    <t>Productos en proceso</t>
  </si>
  <si>
    <t>Mercancía para la venta</t>
  </si>
  <si>
    <t>Productos agropecuarios</t>
  </si>
  <si>
    <t>Inventarios en transito</t>
  </si>
  <si>
    <t>Materiales para consumo</t>
  </si>
  <si>
    <t xml:space="preserve">Total inventarios </t>
  </si>
  <si>
    <t>Costo de inventarios reconocidos en resultados del periodo</t>
  </si>
  <si>
    <t xml:space="preserve">Detalle del deterioro de inventarios a diciembre 31  </t>
  </si>
  <si>
    <t>Inventario dado de baja</t>
  </si>
  <si>
    <t>Activos biológicos medidos a su valor razonable</t>
  </si>
  <si>
    <t>Ganancia o pérdida surgida por cambios en el valor razonable menos los costos de venta</t>
  </si>
  <si>
    <t>Compras (valores pagados por la adquisición o cosecha de nuevos activos)</t>
  </si>
  <si>
    <t>Disminuciones procedentes la cosecha o recolección</t>
  </si>
  <si>
    <t>Ventas</t>
  </si>
  <si>
    <t>Reclasificaciones</t>
  </si>
  <si>
    <t>Incrementos procedentes de combinaciones de negocios</t>
  </si>
  <si>
    <t>Diferencias netas de cambio surgidas de la conversión de los estados financieros</t>
  </si>
  <si>
    <t>Otros cambios</t>
  </si>
  <si>
    <t>Otras opción es la siguiente:</t>
  </si>
  <si>
    <t>Plantaciones de café</t>
  </si>
  <si>
    <t>Ganado vacuno</t>
  </si>
  <si>
    <t>Activos biológicos medidos al costo</t>
  </si>
  <si>
    <t>Depreciación</t>
  </si>
  <si>
    <t>Inversiones en subsidiarias, asociadas y negocios conjuntos</t>
  </si>
  <si>
    <t>Asociada X</t>
  </si>
  <si>
    <t>Utilidad (pérdida) por el método de participación</t>
  </si>
  <si>
    <t>Transferencias</t>
  </si>
  <si>
    <t>La siguiente tabla resume la información financiera de las inversiones significativas de la Compañía en asociadas (las cifras representan el 100% de la participación de las entidades subyacentes):</t>
  </si>
  <si>
    <t>Pasivo corriente</t>
  </si>
  <si>
    <t>Pasivo no corriente</t>
  </si>
  <si>
    <t>Porcentaje de participación en la compañía</t>
  </si>
  <si>
    <t>Valor en libros de la inversión</t>
  </si>
  <si>
    <t>Ingresos</t>
  </si>
  <si>
    <t>Costos y gastos</t>
  </si>
  <si>
    <t>Participación en los resultados de la entidad</t>
  </si>
  <si>
    <t>Terrenos y edificaciones</t>
  </si>
  <si>
    <t>Compras y adiciones</t>
  </si>
  <si>
    <t>Adquisiciones- cruzar con el flujo de efectivo.</t>
  </si>
  <si>
    <t>Ventas o retiros</t>
  </si>
  <si>
    <t>Ventas a precios de costo</t>
  </si>
  <si>
    <t>Depreciación y deterioro acumulado</t>
  </si>
  <si>
    <t>Depreciación anual</t>
  </si>
  <si>
    <t>Indicador de deterioro</t>
  </si>
  <si>
    <t>Importe en libros</t>
  </si>
  <si>
    <t>Variaciones del valor razonable</t>
  </si>
  <si>
    <t>Instrumentos de patrimonio al valor razonable</t>
  </si>
  <si>
    <t>Instrumentos de patrimonio al costo</t>
  </si>
  <si>
    <t>Títulos de devolución de impuestos</t>
  </si>
  <si>
    <t>Total activos financieros</t>
  </si>
  <si>
    <t xml:space="preserve">Otros activos no financieros </t>
  </si>
  <si>
    <t>Propiedades no clasificadas como PPYE</t>
  </si>
  <si>
    <t>Obras de arte</t>
  </si>
  <si>
    <t>Total otros activos no financieros</t>
  </si>
  <si>
    <t>Contratos de arrendamiento financiero</t>
  </si>
  <si>
    <t>Préstamos con entidades financieras</t>
  </si>
  <si>
    <t>Total otros pasivo financieros</t>
  </si>
  <si>
    <t>El pasivo se clasifica como:</t>
  </si>
  <si>
    <t>Plazos</t>
  </si>
  <si>
    <t>Tasas de interés</t>
  </si>
  <si>
    <t>Vencimiento</t>
  </si>
  <si>
    <t>Restricciones sobre la entidad</t>
  </si>
  <si>
    <t>Cuentas por pagar comerciales y otras cuentas por pagar</t>
  </si>
  <si>
    <t xml:space="preserve">Proveedores </t>
  </si>
  <si>
    <t>Otras cuentas por pagar</t>
  </si>
  <si>
    <t>Impuesto sobre la venta por pagar</t>
  </si>
  <si>
    <t>Impuesto a la riqueza por pagar</t>
  </si>
  <si>
    <t>Otros impuestos por pagar</t>
  </si>
  <si>
    <t>Beneficios a corto plazo a los empleados</t>
  </si>
  <si>
    <t>Cuentas por pagar estimadas</t>
  </si>
  <si>
    <t>Total cuentas por pagar comerciales y otras cuentas por pagar</t>
  </si>
  <si>
    <t xml:space="preserve">Provisiones </t>
  </si>
  <si>
    <t>Por garantías</t>
  </si>
  <si>
    <t>Por reestructuración</t>
  </si>
  <si>
    <t>Por procesos legales</t>
  </si>
  <si>
    <t>Por reembolsos</t>
  </si>
  <si>
    <t>Por contratos onerosos</t>
  </si>
  <si>
    <t>Por rehabilitación, retiro de activos y desmantelamiento</t>
  </si>
  <si>
    <t>Por planes de beneficios definidos</t>
  </si>
  <si>
    <t>Total provisiones</t>
  </si>
  <si>
    <t>Medición de nuevas provisiones</t>
  </si>
  <si>
    <t>Actualización financiera por medición del importe descontado</t>
  </si>
  <si>
    <t xml:space="preserve">Pago de provisiones </t>
  </si>
  <si>
    <t>Importes no utilizados revertidos en el periodo</t>
  </si>
  <si>
    <t>Activos mantenidos bajo contratos de arrendamiento financiero</t>
  </si>
  <si>
    <t>Total activos bajo contratos de arrendamiento financiero</t>
  </si>
  <si>
    <t>Pagos mínimos futuros</t>
  </si>
  <si>
    <t>Hasta un año</t>
  </si>
  <si>
    <t>Entre uno y cinco años</t>
  </si>
  <si>
    <t>Más de cinco años</t>
  </si>
  <si>
    <t>Compromisos por arrendamientos operativos</t>
  </si>
  <si>
    <t>Pagos mínimos por arrendamiento operativo reconocidos como gastos durante el año</t>
  </si>
  <si>
    <t>Al final del año, el Grupo tiene compromisos pendientes por arrendamientos operativos no cancelables, con los siguientes vencimientos</t>
  </si>
  <si>
    <t>Total de pagos por arrendamientos mínimos futuros</t>
  </si>
  <si>
    <t>Contratos de arrendamiento financiero (arrendador)</t>
  </si>
  <si>
    <t>Inversión bruta en el arrendamiento y el valor presente de los pagos mínimos por cobrar</t>
  </si>
  <si>
    <t>Ingresos financieros no acumulados</t>
  </si>
  <si>
    <t xml:space="preserve">Importe de los valores residuales no garantizados acumulados
(devengados) a favor del arrendador
</t>
  </si>
  <si>
    <t>Correcciones de valor acumuladas para pagos mínimos por el arrendamiento pendientes de cobro</t>
  </si>
  <si>
    <t>Cuotas contingentes reconocidas en los ingresos del periodo</t>
  </si>
  <si>
    <t>Compromisos por arrendamientos operativos (arrendadores)</t>
  </si>
  <si>
    <t>Pagos mínimos por arrendamiento operativo reconocidos como ingresos durante el año</t>
  </si>
  <si>
    <t>Total de cobros por arrendamientos mínimos futuros</t>
  </si>
  <si>
    <t>Venta de bienes</t>
  </si>
  <si>
    <t>Prestación de servicios</t>
  </si>
  <si>
    <t xml:space="preserve">Explotación de intangibles </t>
  </si>
  <si>
    <t>Comisiones</t>
  </si>
  <si>
    <t>Subvenciones del Gobierno</t>
  </si>
  <si>
    <t>Total ingresos</t>
  </si>
  <si>
    <t>Pasivo por anticipo clientes</t>
  </si>
  <si>
    <t>Contratos de construcción</t>
  </si>
  <si>
    <t>Ingresos de actividades ordinarias procedentes de contratos de construcción</t>
  </si>
  <si>
    <t>Importe bruto debido por los clientes por contratos de construcción como activo</t>
  </si>
  <si>
    <t>Importe bruto debido a los clientes por contratos de construcción como pasivo</t>
  </si>
  <si>
    <t>Costo de venta de mercancías</t>
  </si>
  <si>
    <t>Costo de licenciamiento del software</t>
  </si>
  <si>
    <t>Costo de servicios</t>
  </si>
  <si>
    <t>Total costo de ventas</t>
  </si>
  <si>
    <t>Honorarios</t>
  </si>
  <si>
    <t>Impuestos</t>
  </si>
  <si>
    <t>Contribuciones y afiliaciones</t>
  </si>
  <si>
    <t>Seguros</t>
  </si>
  <si>
    <t>Servicios</t>
  </si>
  <si>
    <t>Mantenimientos y reparaciones</t>
  </si>
  <si>
    <t>Adecuaciones e instalaciones</t>
  </si>
  <si>
    <t>Gastos de viaje</t>
  </si>
  <si>
    <t>Depreciaciones</t>
  </si>
  <si>
    <t>Diversos</t>
  </si>
  <si>
    <t>Total gastos de administración</t>
  </si>
  <si>
    <t>Recuperaciones</t>
  </si>
  <si>
    <t>Total otros ingresos</t>
  </si>
  <si>
    <t>Resultado en venta de propiedad, planta y equipo</t>
  </si>
  <si>
    <t>Variaciones del valor razonable de instrumentos de patrimonio</t>
  </si>
  <si>
    <t>Variaciones del valor razonable de propiedades de inversión</t>
  </si>
  <si>
    <t>Variaciones del valor razonable de derivados financieros</t>
  </si>
  <si>
    <t>Total otras ganancias (pérdidas)</t>
  </si>
  <si>
    <t>Intereses por sobregiros bancarios</t>
  </si>
  <si>
    <t>Intereses por préstamos</t>
  </si>
  <si>
    <t>Intereses por contratos de arrendamiento financiero</t>
  </si>
  <si>
    <t>Total gastos financieros</t>
  </si>
  <si>
    <t>Impuesto corriente por renta</t>
  </si>
  <si>
    <t>Ajuste periodos anteriores sobre impuestos corrientes</t>
  </si>
  <si>
    <t>Impuesto diferido por renta</t>
  </si>
  <si>
    <t>Resultado por impuesto a las ganancias</t>
  </si>
  <si>
    <t>Utilidad antes de impuesto</t>
  </si>
  <si>
    <t>Más: Gastos no deducibles</t>
  </si>
  <si>
    <t>Menos: Otras partidas que afectan la renta</t>
  </si>
  <si>
    <t>Renta Líquida</t>
  </si>
  <si>
    <t>Renta Presuntiva</t>
  </si>
  <si>
    <t>Renta Líquida Gravable Renta</t>
  </si>
  <si>
    <t>Menos rentas exentas</t>
  </si>
  <si>
    <t>Renta Líquida Gravable</t>
  </si>
  <si>
    <t>Gasto por Impuesto de Renta</t>
  </si>
  <si>
    <t>Pasivo (activo) por Impuesto de Renta</t>
  </si>
  <si>
    <t>El cálculo del activo (pasivo) por impuesto a las ganancias corriente, se presenta de la siguiente manera:</t>
  </si>
  <si>
    <t>Retenciones y autorretenciones renta</t>
  </si>
  <si>
    <t>Saldo a favor periodo anterior</t>
  </si>
  <si>
    <t>Saldo a favor renta vigencia actual (pasivo)</t>
  </si>
  <si>
    <t>A continuación se indican los activos (pasivos) por impuestos diferidos reconocidos:</t>
  </si>
  <si>
    <t>Pasivos deducibles cuando sean cancelados</t>
  </si>
  <si>
    <t>Provisiones por garantías</t>
  </si>
  <si>
    <t>Pérdidas fiscales</t>
  </si>
  <si>
    <t>Excesos de renta presuntiva</t>
  </si>
  <si>
    <t>Total impuesto diferido</t>
  </si>
  <si>
    <t>Resultado por variación del impuesto diferido</t>
  </si>
  <si>
    <t>Pérdidas fiscales no reconocidas como diferencias temporarias</t>
  </si>
  <si>
    <t>Excesos de renta presuntiva no reconocidas como diferencias temporarias</t>
  </si>
  <si>
    <t>Los  activos por  impuestos diferidos por xxxxxxxxxxxx, así como el pasivo por impuestos diferidos por xxxxxxxxxx se relacionan con el impuesto a las ganancias de la misma jurisdicción, y la legislación permite su compensación. Por ello, se han compensado en el estado de situación financiera como se señala a continuación:</t>
  </si>
  <si>
    <t>Resultado antes de impuestos</t>
  </si>
  <si>
    <t>Tarifa impositiva</t>
  </si>
  <si>
    <t>Ajustes por impuestos corrientes de periodos anteriores</t>
  </si>
  <si>
    <t>Gasto (ingreso) por impuestos diferidos relacionado con el nacimiento y reversión de diferencias temporarias</t>
  </si>
  <si>
    <t>Gasto (ingreso) por impuestos diferidos relacionado con cambios en las tasas fiscales o con la imposición de nuevos impuestos</t>
  </si>
  <si>
    <t>Beneficios de carácter fiscal, procedentes de pérdidas fiscales, créditos fiscales o diferencias temporarias no reconocidos en periodos anteriores utilizadas para reducir el gasto por impuestos del periodo corriente</t>
  </si>
  <si>
    <t>Beneficios de carácter fiscal, procedentes de pérdidas fiscales, créditos fiscales o diferencias temporarias no reconocidos en periodos anteriores utilizadas para reducir el gasto por impuestos diferido</t>
  </si>
  <si>
    <t>Gasto por impuestos diferidos surgido de la baja o la reversión de la baja de activos por impuestos diferidos</t>
  </si>
  <si>
    <t>Gasto (ingreso) por impuestos relacionado con cambios en políticas contables y errores incluidos en el resultado del periodo</t>
  </si>
  <si>
    <t>Efecto sobre los gastos por impuestos diferidos procedentes de una revisión por las autoridades fiscales</t>
  </si>
  <si>
    <t>Ajustes al gasto por impuestos diferido que surge del cambio en el estatus fiscal de la entidad o de los accionistas</t>
  </si>
  <si>
    <t>Gastos (ingresos) por impuestos procedentes de cambios en correcciones valorativas contra activos por impuestos diferidos</t>
  </si>
  <si>
    <t>Otros componentes del gasto (ingreso) por impuestos diferido</t>
  </si>
  <si>
    <t>Total gasto por impuesto a las ganancias</t>
  </si>
  <si>
    <t xml:space="preserve">Capital </t>
  </si>
  <si>
    <t>Número de acciones autorizadas</t>
  </si>
  <si>
    <t>Número de acciones suscritas y no pagadas</t>
  </si>
  <si>
    <t>Número de acciones suscritas y pagadas</t>
  </si>
  <si>
    <t>Valor nominal de las acciones</t>
  </si>
  <si>
    <t>Número de acciones al inicio del periodo</t>
  </si>
  <si>
    <t>Emisión de nuevas acciones</t>
  </si>
  <si>
    <t>Número de acciones al final del periodo</t>
  </si>
  <si>
    <t>Partes relacionadas</t>
  </si>
  <si>
    <t>Compra de bienes</t>
  </si>
  <si>
    <t>Venta de propiedades</t>
  </si>
  <si>
    <t>Compra de propiedades</t>
  </si>
  <si>
    <t>Ingresos por prestación de servicios</t>
  </si>
  <si>
    <t>Pagos por servicios</t>
  </si>
  <si>
    <t>Ingresos por arrendamientos</t>
  </si>
  <si>
    <t>Pagos por arrendamientos</t>
  </si>
  <si>
    <t>Ingresos por explotación de intangibles</t>
  </si>
  <si>
    <t>Pagos por explotación de intangibles</t>
  </si>
  <si>
    <t>Aportes de patrimonio efectuados</t>
  </si>
  <si>
    <t>Cuentas por cobrar comerciales</t>
  </si>
  <si>
    <t>Préstamos por cobrar</t>
  </si>
  <si>
    <t xml:space="preserve">Deterioro por cuentas por cobrar </t>
  </si>
  <si>
    <t>Remuneraciones del personal clave de la gerencia</t>
  </si>
  <si>
    <t>Beneficios a corto plazo</t>
  </si>
  <si>
    <t>Beneficios post-empleo</t>
  </si>
  <si>
    <t>Otros beneficios a largo plazo</t>
  </si>
  <si>
    <t>Beneficios por terminación</t>
  </si>
  <si>
    <t>Pagos basados en acciones</t>
  </si>
  <si>
    <t>Total remuneraciones del personal clave</t>
  </si>
  <si>
    <t>Gastos por deterioro</t>
  </si>
  <si>
    <t>Pérdidas por deterioro de valor reconocidas en el resultado</t>
  </si>
  <si>
    <t>Propiedades de inversión al costo</t>
  </si>
  <si>
    <t>Total gasto por deterioro</t>
  </si>
  <si>
    <t>Reversiones por pérdidas por deterioro de valor</t>
  </si>
  <si>
    <t>Planes de beneficios definidos</t>
  </si>
  <si>
    <t xml:space="preserve">Una conciliación de los saldos de apertura y cierre del valor razonable de los activos del plan y de los saldos de apertura y cierre de cualquier derecho de reembolso reconocido como un activo, que muestre de forma separada
</t>
  </si>
  <si>
    <t>Aportaciones</t>
  </si>
  <si>
    <t>Beneficios pagados</t>
  </si>
  <si>
    <t>Otros cambios en los activos del plan</t>
  </si>
  <si>
    <t>Diferencias en cambio</t>
  </si>
  <si>
    <t>Importe de las diferencias de cambio reconocidas en los resultados durante el periodo</t>
  </si>
  <si>
    <t>Acuerdos de concesión de servicios</t>
  </si>
  <si>
    <t>Activos intangibles</t>
  </si>
  <si>
    <t>Instrumentos financieros</t>
  </si>
  <si>
    <t xml:space="preserve">Categorías de activos financieros y pasivos financieros </t>
  </si>
  <si>
    <t>Activos financieros al valor razonable con cambios en resultados</t>
  </si>
  <si>
    <t>Activos financieros que son instrumentos de deuda, al costo amortizado</t>
  </si>
  <si>
    <t>Activos financieros que son instrumentos de patrimonio, al costo</t>
  </si>
  <si>
    <t>Pasivos financieros al valor razonable con cambios en resultados</t>
  </si>
  <si>
    <t>Pasivos financieros al costo amortizado</t>
  </si>
  <si>
    <t>Compromisos de préstamo, al costo</t>
  </si>
  <si>
    <t>Remesas</t>
  </si>
  <si>
    <t>Construcciones LVG SA</t>
  </si>
  <si>
    <t xml:space="preserve">Maquinaria </t>
  </si>
  <si>
    <t>Equipo administrativo y vehículos</t>
  </si>
  <si>
    <t>No ctes</t>
  </si>
  <si>
    <t>Ctes</t>
  </si>
  <si>
    <t>Non delivery forward</t>
  </si>
  <si>
    <t>Ajustes por resultados en ventas de activos no corrientes</t>
  </si>
  <si>
    <t>Resultado en ventas de propiedad, planta y equipo</t>
  </si>
  <si>
    <t>Menos gastos por deterioro de cuentas por cobrar</t>
  </si>
  <si>
    <t>Menos gastos por deterioro de otras cuentas por cobrar</t>
  </si>
  <si>
    <t>Menos variación del VR de activos biológicos</t>
  </si>
  <si>
    <t>Variación de provisiones</t>
  </si>
  <si>
    <t>Incrementan pasivo</t>
  </si>
  <si>
    <t>Reducen el pasivo</t>
  </si>
  <si>
    <t>act financiera</t>
  </si>
  <si>
    <t>Gasto por provisión</t>
  </si>
  <si>
    <t>Más variación VR propiedad de inversión</t>
  </si>
  <si>
    <t>Variación de resultados acumulados</t>
  </si>
  <si>
    <t>Ventas de Propiedad, planta y equipo</t>
  </si>
  <si>
    <t>Resultado por venta de PPYE (activos no corrientes)</t>
  </si>
  <si>
    <t>Mas costo de la PPYE vendida</t>
  </si>
  <si>
    <t>Gasto por amortización intangibles cta 5165</t>
  </si>
  <si>
    <t>Costos de producción mejoras propiedad ajena</t>
  </si>
  <si>
    <t xml:space="preserve">Nacimientos </t>
  </si>
  <si>
    <t xml:space="preserve">Muertes </t>
  </si>
  <si>
    <t>5% no superen</t>
  </si>
  <si>
    <t>Ceba cte</t>
  </si>
  <si>
    <t xml:space="preserve">Ceba cte </t>
  </si>
  <si>
    <t>No cte</t>
  </si>
  <si>
    <t>Ceba Cte</t>
  </si>
  <si>
    <t>Verificar si los dividendos se pagaron por dicho valor</t>
  </si>
  <si>
    <t xml:space="preserve">Ajustes por deterioro de valor (reversiones de pérdidas por deterioro de valor) </t>
  </si>
  <si>
    <t>Resultado del método de la participación</t>
  </si>
  <si>
    <t>En activo usa el signo contrario</t>
  </si>
  <si>
    <t>En pasivo usa el mismo signo</t>
  </si>
  <si>
    <t>Ajustes por disminuciones (incrementos) en activos biológicos</t>
  </si>
  <si>
    <t>Ajustes por el incremento (disminución) de provisiones</t>
  </si>
  <si>
    <t>Menos PPYE retirada sin dep</t>
  </si>
  <si>
    <t>Préstamo para adquisición de planta</t>
  </si>
  <si>
    <t>Adquisición de la amplicación de la planta</t>
  </si>
  <si>
    <t>Deterioro de valor de deudores comerciales</t>
  </si>
  <si>
    <t>Db</t>
  </si>
  <si>
    <t>Cr</t>
  </si>
  <si>
    <t>Lo que de, si o no</t>
  </si>
  <si>
    <t>ORI - participación en ORI de asociadas</t>
  </si>
  <si>
    <t>USD</t>
  </si>
  <si>
    <t>Imp. Recuperable</t>
  </si>
  <si>
    <t>Nuevo deterioro</t>
  </si>
  <si>
    <t>Saldo anterior deterioro</t>
  </si>
  <si>
    <t>Ingreso x recuperación de deterioro</t>
  </si>
  <si>
    <t>En una empresa existe lo ste</t>
  </si>
  <si>
    <t>Deterioro fiscal cartera</t>
  </si>
  <si>
    <t>Deterioro NIIF cartera</t>
  </si>
  <si>
    <t>Cta 139905 deterioro fiscal</t>
  </si>
  <si>
    <t>Cta 139906 ajuste deterioro x NIIF</t>
  </si>
  <si>
    <t>Descuentos posteriores</t>
  </si>
  <si>
    <t>Hoy no se el valor</t>
  </si>
  <si>
    <t>1- todo como un menor valor del costo de ventas, y sale</t>
  </si>
  <si>
    <t>2- igual que la uno, pero ajustando tambien el inventario no vendido</t>
  </si>
  <si>
    <t>Descuento x linea, es más o menos un 3%</t>
  </si>
  <si>
    <t>Variación del valor razonable</t>
  </si>
  <si>
    <t>NC - registro contable del método de la revaluación en terrenos y edificaciones</t>
  </si>
  <si>
    <t>ORI - superavit por revaluación</t>
  </si>
  <si>
    <t>GW CM FC P</t>
  </si>
  <si>
    <t>En NIIF no se amotiza, solo se somete a prueba anual de deterioro</t>
  </si>
  <si>
    <t>En pymes, si se amortiza, y se somete a prueba de deteriro si hay indicador.</t>
  </si>
  <si>
    <t>Préstamos bancarios</t>
  </si>
  <si>
    <t>Caso 1- préstamo sin costos de transacción</t>
  </si>
  <si>
    <t>Costo de transacción</t>
  </si>
  <si>
    <t>Estudio de crédito</t>
  </si>
  <si>
    <t>Comisión fee</t>
  </si>
  <si>
    <t>FNG</t>
  </si>
  <si>
    <t>Avalúo del bien</t>
  </si>
  <si>
    <t>Costos legales y notariales hipoteca</t>
  </si>
  <si>
    <t>Contador y abogado</t>
  </si>
  <si>
    <t>O los costos de transacción son chichipatos</t>
  </si>
  <si>
    <t>Los de bajo monto , aval</t>
  </si>
  <si>
    <t>Lo que el banco hace, es igual a lo que yo hago</t>
  </si>
  <si>
    <t>Costos amotizado mio, es igual al del banco</t>
  </si>
  <si>
    <t>Al momento de pagar . Yo separo que es interes y que es capital</t>
  </si>
  <si>
    <t>Mes 32</t>
  </si>
  <si>
    <t>Mes 33</t>
  </si>
  <si>
    <t>Mes 34</t>
  </si>
  <si>
    <t>Mes 35</t>
  </si>
  <si>
    <t>Mes 36</t>
  </si>
  <si>
    <t>Son significativos</t>
  </si>
  <si>
    <t>Menor valor del pasivo</t>
  </si>
  <si>
    <t>Sección 11 y NIIF 9</t>
  </si>
  <si>
    <t>Puntos, programas de fidelización, millas</t>
  </si>
  <si>
    <t>PID</t>
  </si>
  <si>
    <t>1- aplico la contabilidad normalita de inst financieros</t>
  </si>
  <si>
    <t>Mido al Vr razonable, contra una cuenta de PYG</t>
  </si>
  <si>
    <t>2- aplico la contabilidad de coberturas</t>
  </si>
  <si>
    <t>Mido al vr razonable, una parte va al PYG y la otra va al ORI.</t>
  </si>
  <si>
    <t>Anticipo para compra de propiedades</t>
  </si>
  <si>
    <t>Provisiones por garantias</t>
  </si>
  <si>
    <t>Provisiones por demandas</t>
  </si>
  <si>
    <t>EBITDA</t>
  </si>
  <si>
    <t>Verificación de dividendos</t>
  </si>
  <si>
    <t xml:space="preserve">Efectos superavit por revaluación </t>
  </si>
  <si>
    <t>Participación ORI asociadas</t>
  </si>
  <si>
    <t>Efectos impuesto diferido</t>
  </si>
  <si>
    <t>ORI - efecto fiscal</t>
  </si>
  <si>
    <t>Variación anticipo de compra PPYE</t>
  </si>
  <si>
    <t>Variación anticipo de compra PPYE- PI</t>
  </si>
  <si>
    <t>Menos resultados por met participación</t>
  </si>
  <si>
    <t>Menos ORI part ORI asociadas</t>
  </si>
  <si>
    <t>Tabla de amortización remedida por costos de la transacción</t>
  </si>
  <si>
    <t>Gasto por impuestos de renta</t>
  </si>
  <si>
    <t>Ganancia del periodo</t>
  </si>
  <si>
    <t>Resultado operacional</t>
  </si>
  <si>
    <t>Mas depreciación y amortización</t>
  </si>
  <si>
    <t>Variación del pasivo financiero por derivados financieros</t>
  </si>
  <si>
    <t>Mas Revaluación de PPYE</t>
  </si>
  <si>
    <t>Menos costo de la PPYE vendida</t>
  </si>
  <si>
    <t>Partidas que se excluyen del flujo de efectivo - transacciones no monetarias</t>
  </si>
  <si>
    <t>Venta de la tractomula</t>
  </si>
  <si>
    <t>2170 de 2017</t>
  </si>
  <si>
    <t>Activo financiero</t>
  </si>
  <si>
    <t>Efectivo, dinero, money, platica</t>
  </si>
  <si>
    <t>Derecho contractual a reclamar platica o reclamar un AF</t>
  </si>
  <si>
    <t>Inversión en instrumentos de patrimonio de otra entidad</t>
  </si>
  <si>
    <t>Derivados</t>
  </si>
  <si>
    <t>Cuentas por cobrar</t>
  </si>
  <si>
    <t>Chavo del ocho</t>
  </si>
  <si>
    <t>Arriendo</t>
  </si>
  <si>
    <t>Lote</t>
  </si>
  <si>
    <t>Parqueadero</t>
  </si>
  <si>
    <t>Edificio</t>
  </si>
  <si>
    <t>DT</t>
  </si>
  <si>
    <t>DTI</t>
  </si>
  <si>
    <t>ID</t>
  </si>
  <si>
    <t>Diferencias temporarias</t>
  </si>
  <si>
    <t>Dep acum</t>
  </si>
  <si>
    <t>IL</t>
  </si>
  <si>
    <t>BF</t>
  </si>
  <si>
    <t>RLRD</t>
  </si>
  <si>
    <t>GO</t>
  </si>
  <si>
    <t>Mal</t>
  </si>
  <si>
    <t>bien</t>
  </si>
  <si>
    <t>Pasivo x imp diferido</t>
  </si>
  <si>
    <t>Result acumulados - errores de periodos ant</t>
  </si>
  <si>
    <t>Gastos x imp renta var dif</t>
  </si>
  <si>
    <t xml:space="preserve">Efectivo </t>
  </si>
  <si>
    <t>Préstamos por pagar</t>
  </si>
  <si>
    <t>Depreciación y amortización</t>
  </si>
  <si>
    <t xml:space="preserve">Ajustes por el incremento (disminución) de cuentas por pagar </t>
  </si>
  <si>
    <t>Ajustes por ganancias del valor razonable</t>
  </si>
  <si>
    <t>Ajustes por disminuciones en los inventarios</t>
  </si>
  <si>
    <t>Ajustes por incremento de cuentas por cobrar de origen comercial</t>
  </si>
  <si>
    <t xml:space="preserve">Ajustes por disminuciones en otras cuentas por cobrar </t>
  </si>
  <si>
    <t>Ajustes por incrementos en activos biológicos</t>
  </si>
  <si>
    <t>Ajustes por el incremento de provisiones</t>
  </si>
  <si>
    <t>Impuestos a las ganancias pagados</t>
  </si>
  <si>
    <t>Variación inst de patrimonio medidos al VR (SF-SI)</t>
  </si>
  <si>
    <t>Variación activos por derivados financieros (SF-SI)</t>
  </si>
  <si>
    <t>Variación activos CDT (SF-SI)</t>
  </si>
  <si>
    <t>Valor de la venta</t>
  </si>
  <si>
    <t>Costo en libros</t>
  </si>
  <si>
    <t>Utilidad</t>
  </si>
  <si>
    <t>Venc mayores a 90 dias- cocentraci{on de la cartera.</t>
  </si>
  <si>
    <t>Covenant, hipotecas</t>
  </si>
  <si>
    <t xml:space="preserve">Vencido- </t>
  </si>
  <si>
    <t>Movimientos de bancos</t>
  </si>
  <si>
    <t xml:space="preserve">La entidad compro acciones de Ecopetrol SA por </t>
  </si>
  <si>
    <t>Los dividendos recibidos por la entidad fueron los siguientes:</t>
  </si>
  <si>
    <t>Las variaciones de valor razonable registradas, fueron</t>
  </si>
  <si>
    <t>Valor total</t>
  </si>
  <si>
    <t xml:space="preserve">Costo </t>
  </si>
  <si>
    <t xml:space="preserve">Derivados nuevo año </t>
  </si>
  <si>
    <t>Durante el año, se redimieron los dos forward, y una parte de los swap, lo anterior generó una pérdida de</t>
  </si>
  <si>
    <t>Durante el año, se redimieron los dos forward, y una parte de los swap, lo anterior generó una ganancia de</t>
  </si>
  <si>
    <t xml:space="preserve">Transacciones año </t>
  </si>
  <si>
    <t>Durante el año, se recibieron intereses por la suma de:</t>
  </si>
  <si>
    <t xml:space="preserve">Salario Promedio </t>
  </si>
  <si>
    <t>Salario Promedio</t>
  </si>
  <si>
    <t>Construcciones Lvg SAS (10%)</t>
  </si>
  <si>
    <t>Inversiones medida por el método de la participación</t>
  </si>
  <si>
    <t>Compra de asociadas y subsidiarias</t>
  </si>
  <si>
    <t>Adquisición inversiones subsidiarias</t>
  </si>
  <si>
    <t>Empresa LVG SAS</t>
  </si>
  <si>
    <t>Año 2020</t>
  </si>
  <si>
    <t>Año 2021</t>
  </si>
  <si>
    <t xml:space="preserve">Total ajustes </t>
  </si>
  <si>
    <t>Antes de ajustes</t>
  </si>
  <si>
    <t>Anexo - Registros contables bajo Antes de ajustes</t>
  </si>
  <si>
    <t xml:space="preserve">Antes de ajustes </t>
  </si>
  <si>
    <t>Valor costo Antes de ajustes</t>
  </si>
  <si>
    <t xml:space="preserve">Antes de ajustes  </t>
  </si>
  <si>
    <t>Cálculo bajo normativa colombiana (Antes de ajustes)- obligaciones laborales</t>
  </si>
  <si>
    <t>Cuenta</t>
  </si>
  <si>
    <t xml:space="preserve">Al costo </t>
  </si>
  <si>
    <t>Activo por derivado financiero</t>
  </si>
  <si>
    <t>Cta 124576 - 198765</t>
  </si>
  <si>
    <t xml:space="preserve">Cta 298765 </t>
  </si>
  <si>
    <t>Pasivo por derivado financieros</t>
  </si>
  <si>
    <t>Cta 430576</t>
  </si>
  <si>
    <t>Variación valor razonable de derivados fin</t>
  </si>
  <si>
    <t>Valor patrimonial derivados financieros - forward, swap</t>
  </si>
  <si>
    <t>efecto en ingreso o gasto fiscal</t>
  </si>
  <si>
    <t>Deterioro contable</t>
  </si>
  <si>
    <t>Deterioro fiscal</t>
  </si>
  <si>
    <t>VNR = precio estimado de venta menos los costos de la venta</t>
  </si>
  <si>
    <t>Costos de la venta no es igual a la cuenta 52 Gasto de venta</t>
  </si>
  <si>
    <t>Opción 1</t>
  </si>
  <si>
    <t>Opción 2</t>
  </si>
  <si>
    <t>Renta presuntiva</t>
  </si>
  <si>
    <t>Compensaciones</t>
  </si>
  <si>
    <t>Valor fiscal</t>
  </si>
  <si>
    <t>Efectivo  (nota 5)</t>
  </si>
  <si>
    <t>Cuentas por cobrar a clientes (nota 6)</t>
  </si>
  <si>
    <t>Otras cuentas por cobrar (nota 7)</t>
  </si>
  <si>
    <t>Inventarios  (nota 8)</t>
  </si>
  <si>
    <t>Activos biológicos al valor razonable (nota 9)</t>
  </si>
  <si>
    <t>Saldo a favor por renta (nota 10)</t>
  </si>
  <si>
    <t>Instrumentos de patrimonio al valor razonable (nota 11)</t>
  </si>
  <si>
    <t>Inversiones en CDT (nota 12)</t>
  </si>
  <si>
    <t>Derivados financieros (nota 13)</t>
  </si>
  <si>
    <t>Impuesto de renta por pagar (nota 10)</t>
  </si>
  <si>
    <t>Saldo inicial a enero de 2019</t>
  </si>
  <si>
    <t>Saldo final a diciembre 31 de 2019</t>
  </si>
  <si>
    <t>Saldo final A diciembre 31 de 2020</t>
  </si>
  <si>
    <t>Pasivo por Impuesto de Renta</t>
  </si>
  <si>
    <t>El siguiente es el detalle de la determinación del pasivo por impuesto de renta</t>
  </si>
  <si>
    <t>Esto debe dar cero</t>
  </si>
  <si>
    <t>Vr Bolsa</t>
  </si>
  <si>
    <t>Valor razonable con cambios en resultados</t>
  </si>
  <si>
    <t>Grupo aval - ajustes al VR</t>
  </si>
  <si>
    <t>Ecopetrol - ajustes al VR</t>
  </si>
  <si>
    <t>Deterioro CXC - ajuste a NIIF</t>
  </si>
  <si>
    <t>Provisión Individual</t>
  </si>
  <si>
    <t>%</t>
  </si>
  <si>
    <t>90 a 180 días</t>
  </si>
  <si>
    <t>181 a 360 días</t>
  </si>
  <si>
    <t>361 a 720 días</t>
  </si>
  <si>
    <t>721 a 1.080 días</t>
  </si>
  <si>
    <t>Más de 1.080 días</t>
  </si>
  <si>
    <t xml:space="preserve">Saldo deterioro fiscal cartera año anterior </t>
  </si>
  <si>
    <t>Cargos por bajas en el año Actual Art. 146  ET</t>
  </si>
  <si>
    <t>Vencimiento por edades</t>
  </si>
  <si>
    <t>Valor contable de la cartera</t>
  </si>
  <si>
    <t>Provisión general</t>
  </si>
  <si>
    <t>Total deducción por deterioro de CXC</t>
  </si>
  <si>
    <t xml:space="preserve">Saldo deterioro de cartera acumulado </t>
  </si>
  <si>
    <t>Cartera no vencida</t>
  </si>
  <si>
    <t>Subtotal deducción fiscal o recuperación</t>
  </si>
  <si>
    <t>Clientes Tipo 1</t>
  </si>
  <si>
    <t>Clientes Tipo 2</t>
  </si>
  <si>
    <t>Clientes Tipo 3</t>
  </si>
  <si>
    <t>Clientes Tipo 4</t>
  </si>
  <si>
    <t>Total ingreso por recuperación deterioro</t>
  </si>
  <si>
    <t>Provisión- C x Cobrar fiscal</t>
  </si>
  <si>
    <t>Cuentas por cobrar clientes tipo 1</t>
  </si>
  <si>
    <t>Cuentas por cobrar clientes tipo 2</t>
  </si>
  <si>
    <t>Cuentas por cobrar clientes tipo 3</t>
  </si>
  <si>
    <t>Deterioro de cuentas por cobrar fiscal</t>
  </si>
  <si>
    <t>Deterioro de cuentas por cobrar ajuste NIIF</t>
  </si>
  <si>
    <t>Recuperación de deterioro fiscal</t>
  </si>
  <si>
    <t>Recuperación de deterioro ajuste NIIF</t>
  </si>
  <si>
    <t>Activo biológico- costo</t>
  </si>
  <si>
    <t>Activo biológico- ajuste al valor razonable</t>
  </si>
  <si>
    <t>VR saldo inicial</t>
  </si>
  <si>
    <t>Costo historico</t>
  </si>
  <si>
    <t>Depreciación acumulada fiscal</t>
  </si>
  <si>
    <t xml:space="preserve">Tractomula </t>
  </si>
  <si>
    <t>Terreno, parqueadero</t>
  </si>
  <si>
    <t>Costo atribuido NIF</t>
  </si>
  <si>
    <t>Depreciación acumulada NIF</t>
  </si>
  <si>
    <t xml:space="preserve">Edificación </t>
  </si>
  <si>
    <t>Terreno PI</t>
  </si>
  <si>
    <t>Terrenos ajustes NIIF</t>
  </si>
  <si>
    <t>Propiedades de inversión ajuste NIIF</t>
  </si>
  <si>
    <t>Dep acumulada edificación</t>
  </si>
  <si>
    <t>Dep acumulada edificación ajuste NIIF</t>
  </si>
  <si>
    <t>Dep acumulada maquinaria</t>
  </si>
  <si>
    <t>Dep acumulada enseres</t>
  </si>
  <si>
    <t>Dep acumulada tractomula</t>
  </si>
  <si>
    <t>Dep acumulada tractomula ajuste NIIF</t>
  </si>
  <si>
    <t>OK cero</t>
  </si>
  <si>
    <t>Renta ordinaria</t>
  </si>
  <si>
    <t>Polizas de seguros</t>
  </si>
  <si>
    <t>Programa de contabilidad</t>
  </si>
  <si>
    <t>Pasivos laborales</t>
  </si>
  <si>
    <t>Clientes</t>
  </si>
  <si>
    <t>CP depreciación NIIF</t>
  </si>
  <si>
    <t>Gastos por depreciaciones ajuste NIIF</t>
  </si>
  <si>
    <t>Variaciones impuesto periodos anteriores</t>
  </si>
  <si>
    <t>Costo atribuido NIF o valor razonable en PI</t>
  </si>
  <si>
    <t>Cada año se miden por su valor razonable</t>
  </si>
  <si>
    <t>Actualización financiera, por el VA</t>
  </si>
  <si>
    <t>Utilidad antes de impuestos</t>
  </si>
  <si>
    <t>Traslado costos de produccion a costos de ventas</t>
  </si>
  <si>
    <t>Se quitan x ser INCR</t>
  </si>
  <si>
    <t>deducible</t>
  </si>
  <si>
    <t>Código</t>
  </si>
  <si>
    <t>Saldo contable</t>
  </si>
  <si>
    <t>Saldo declaración</t>
  </si>
  <si>
    <t>Renglon 110</t>
  </si>
  <si>
    <t>Renglon 2516</t>
  </si>
  <si>
    <t>DIAN</t>
  </si>
  <si>
    <t>Declaración de Renta y Complementario para Personas Jurídicas y asimiladas y personas naturales y asimiladas no residentes y sucesiones ilíquidas de causantes no residentes, o de Ingresos  y patrimonio para entidades          obligadas a declarar</t>
  </si>
  <si>
    <t>1. Año</t>
  </si>
  <si>
    <t>Espacio reservado para la DIAN</t>
  </si>
  <si>
    <t xml:space="preserve">       4. Número de formulario</t>
  </si>
  <si>
    <t xml:space="preserve">BORRADOR </t>
  </si>
  <si>
    <t>Datos del
declarante</t>
  </si>
  <si>
    <t xml:space="preserve"> 5. Número de Identificación Tributaria (NIT)</t>
  </si>
  <si>
    <t xml:space="preserve"> 6.DV.</t>
  </si>
  <si>
    <t>7. Primer apellido</t>
  </si>
  <si>
    <t>8. Segundo apellido</t>
  </si>
  <si>
    <t>9. Primero nombre</t>
  </si>
  <si>
    <t>10. Otros nombres</t>
  </si>
  <si>
    <t xml:space="preserve"> 11. Razón social</t>
  </si>
  <si>
    <t>12. Cód. Dirección
seccional</t>
  </si>
  <si>
    <t>24. Actividad económica principal</t>
  </si>
  <si>
    <t xml:space="preserve"> Si es una correcciòn Indique:</t>
  </si>
  <si>
    <t xml:space="preserve">25. Cód.     </t>
  </si>
  <si>
    <t xml:space="preserve">   26. No. Formulario anterior</t>
  </si>
  <si>
    <t>29. Fraccion de año gravable siguiente (Marque "x")</t>
  </si>
  <si>
    <t>30. Renunció a pertenecer al Régimen tributario especial (Marque "x")</t>
  </si>
  <si>
    <t>31. Vinculado al pago de obras por impuestos (Marque (x)</t>
  </si>
  <si>
    <t>32. Pérdidas fiscales acumuladas años anteriores, sin compensar</t>
  </si>
  <si>
    <t>Datos informativos</t>
  </si>
  <si>
    <t>Total costos  y gastos de nómina</t>
  </si>
  <si>
    <t>Aportes al sistema de seguridad social</t>
  </si>
  <si>
    <t>Aportes al SENA, ICBF, cajas de compensación</t>
  </si>
  <si>
    <t>Efectivo y equivalentes al efectivo</t>
  </si>
  <si>
    <t>Inversiones e instrumentos financieros derivados</t>
  </si>
  <si>
    <t>Renta exenta</t>
  </si>
  <si>
    <t>Cuentas, documentos y arrendamientos financieros por cobrar</t>
  </si>
  <si>
    <t>Rentas gravables</t>
  </si>
  <si>
    <r>
      <t xml:space="preserve">Renta líquida gravable </t>
    </r>
    <r>
      <rPr>
        <sz val="8"/>
        <color rgb="FF000000"/>
        <rFont val="Arial"/>
        <family val="2"/>
      </rPr>
      <t>(Al mayor valor entre 75 y 76 reste 77 y sume 78)</t>
    </r>
  </si>
  <si>
    <t>Ganancias
ocasionales</t>
  </si>
  <si>
    <t>Ingresos por ganancias ocasionales</t>
  </si>
  <si>
    <t>Renta deudores régimen Ley 1116 de 2006, Decretos 560 y 772 de 2020</t>
  </si>
  <si>
    <t>Propiedades, planta y equipo, propiedades de inversión y ANCMV</t>
  </si>
  <si>
    <t>Utilizacion perdidas fiscales acumuladas (inc. 2, art 15 Decreto 772 de 2020</t>
  </si>
  <si>
    <t>Otros activos</t>
  </si>
  <si>
    <t>Costos por ganancias ocasionales</t>
  </si>
  <si>
    <r>
      <t xml:space="preserve">Total patrimonio bruto </t>
    </r>
    <r>
      <rPr>
        <sz val="9"/>
        <color rgb="FF000000"/>
        <rFont val="Arial"/>
        <family val="2"/>
      </rPr>
      <t>(36+37+38+39+40+41+42+43)</t>
    </r>
  </si>
  <si>
    <t>Ganancias ocasionales no gravadas y exentas</t>
  </si>
  <si>
    <t>Ganancias ocasionales gravables</t>
  </si>
  <si>
    <r>
      <t>Total patrimonio líquido</t>
    </r>
    <r>
      <rPr>
        <sz val="9"/>
        <color rgb="FF000000"/>
        <rFont val="Arial"/>
        <family val="2"/>
      </rPr>
      <t xml:space="preserve"> (44-45)</t>
    </r>
  </si>
  <si>
    <t>Sobre la renta líquida gravable</t>
  </si>
  <si>
    <t>Ingresos brutos de actividades ordinarias</t>
  </si>
  <si>
    <t>Liquidación privada</t>
  </si>
  <si>
    <t>De dividendos y/o participaciones gravadas a la tarifa del  10% (base casilla 54)</t>
  </si>
  <si>
    <t>De dividendos y/o participaciones gravadas a la tarifa del art. 240 del E.T. (base casilla 55)</t>
  </si>
  <si>
    <t>Dividendos y/o participaciones no constitutivos de renta ni ganancia ocasional (Incluye capitalizaciones no gravadas)</t>
  </si>
  <si>
    <t>De dividendos y/o participaciones gravadas a la tarifa del 27%. (base casilla 56)</t>
  </si>
  <si>
    <t>Dividendos y/o participaciones distribuidos por entidades no residentes en Colombia a una CHC y prima en colocación de acciones</t>
  </si>
  <si>
    <t>De dividendos y(o participaciones gravadas a la tarifa del 32% (base casillas 51+53)</t>
  </si>
  <si>
    <t>Dividendos y/o participaciones gravadas a la tarifa general provenientes de sociedades y entidades extranjeras o de sociedades nacionales</t>
  </si>
  <si>
    <t>De dividendo y/o participaciónes gravadas a la tarifa del 33% (base casilla 52)</t>
  </si>
  <si>
    <t>Dividendos y/o participaciones gravadas recibidas por personas naturales sin residencia fiscal (Año 2016 y anteriores)</t>
  </si>
  <si>
    <r>
      <t xml:space="preserve">Total impuesto sobre las rentas líquidas gravables </t>
    </r>
    <r>
      <rPr>
        <sz val="9"/>
        <color rgb="FF000000"/>
        <rFont val="Arial"/>
        <family val="2"/>
      </rPr>
      <t>(86+87+88+89+90+91)</t>
    </r>
  </si>
  <si>
    <t>Dividendos y/o participaciones gravadas recibidas por personas naturales sin residencia fiscal (año 2017 y siguientes)</t>
  </si>
  <si>
    <t>Descuentos tributarios</t>
  </si>
  <si>
    <t>Dividendos y/o participaciones gravadas al 10%</t>
  </si>
  <si>
    <t>Impuesto neto de renta (92-93)</t>
  </si>
  <si>
    <t>Dividendos y/o participaciones gravadas a tarifa general (EP y sociedades extranjeras - utilidades generadas a partir del año 2017)</t>
  </si>
  <si>
    <t>Impuesto de ganancias ocasionales</t>
  </si>
  <si>
    <t>Dividendos y participaciones provenientes de proyectos calificados como megainversión gravadas al 27%</t>
  </si>
  <si>
    <t>Descuento por impuestos pagados en el exterior por ganancias ocasionales</t>
  </si>
  <si>
    <t>Total impuesto a cargo (94+95-96)</t>
  </si>
  <si>
    <r>
      <t xml:space="preserve">Total ingresos brutos </t>
    </r>
    <r>
      <rPr>
        <sz val="9"/>
        <color rgb="FF000000"/>
        <rFont val="Arial"/>
        <family val="2"/>
      </rPr>
      <t>(47+48+49+50+51+52+53+54+55+56+57)</t>
    </r>
  </si>
  <si>
    <r>
      <t>Valor inversion obras por impuestos hasta del 50% del valor de la casilla 97 (</t>
    </r>
    <r>
      <rPr>
        <b/>
        <sz val="8"/>
        <color rgb="FF000000"/>
        <rFont val="Arial"/>
        <family val="2"/>
      </rPr>
      <t>Modalidad de pago 1</t>
    </r>
    <r>
      <rPr>
        <sz val="8"/>
        <color rgb="FF000000"/>
        <rFont val="Arial"/>
        <family val="2"/>
      </rPr>
      <t>)</t>
    </r>
  </si>
  <si>
    <t>Devoluciones, rebajas y descuentos en ventas</t>
  </si>
  <si>
    <r>
      <t>Descuento efectivo inversión obras por impuestos (</t>
    </r>
    <r>
      <rPr>
        <b/>
        <sz val="8.6"/>
        <color rgb="FF000000"/>
        <rFont val="Arial"/>
        <family val="2"/>
      </rPr>
      <t>Modalidad de pago 2</t>
    </r>
    <r>
      <rPr>
        <sz val="8.6"/>
        <color rgb="FF000000"/>
        <rFont val="Arial"/>
        <family val="2"/>
      </rPr>
      <t>)</t>
    </r>
  </si>
  <si>
    <t>Ingresos no constitutivos de renta
ni ganancia ocasional</t>
  </si>
  <si>
    <t>Crédito fiscal  artículo 256-1 ET</t>
  </si>
  <si>
    <r>
      <t xml:space="preserve">Total ingresos netos </t>
    </r>
    <r>
      <rPr>
        <sz val="9"/>
        <color rgb="FF000000"/>
        <rFont val="Arial"/>
        <family val="2"/>
      </rPr>
      <t>(58-59-60)</t>
    </r>
  </si>
  <si>
    <t>Anticipo renta liquidado año gravable anterior</t>
  </si>
  <si>
    <t>Costos y deducciones</t>
  </si>
  <si>
    <t>Costos</t>
  </si>
  <si>
    <t>Saldo a favor año gravable anterior sin solicitud de devolución o compensación</t>
  </si>
  <si>
    <t>Retenciones</t>
  </si>
  <si>
    <t>Autorretenciones</t>
  </si>
  <si>
    <t>Gastos de distribución y ventas</t>
  </si>
  <si>
    <t>Otras retenciones</t>
  </si>
  <si>
    <r>
      <t xml:space="preserve">Total retenciones año gravable a declarar </t>
    </r>
    <r>
      <rPr>
        <sz val="8"/>
        <color rgb="FF000000"/>
        <rFont val="Arial"/>
        <family val="2"/>
      </rPr>
      <t>(103+104)</t>
    </r>
  </si>
  <si>
    <t>SI(AL36=0,0,REDONDEAR(SI((AL25)&lt;Conf!C47,0,((AL25)-Conf!C47)*Conf!C46),-3))</t>
  </si>
  <si>
    <t>Otros gastos y deducciones</t>
  </si>
  <si>
    <t>Anticipo renta para el año gravable siguiente</t>
  </si>
  <si>
    <r>
      <t xml:space="preserve">Total costos y gastos deducibles </t>
    </r>
    <r>
      <rPr>
        <sz val="9"/>
        <color rgb="FF000000"/>
        <rFont val="Arial"/>
        <family val="2"/>
      </rPr>
      <t>(62+63+64+65+66)</t>
    </r>
  </si>
  <si>
    <t>Sobretasa instituciones financieras</t>
  </si>
  <si>
    <t>Anticipo sobretasa instituciones financieras año gravable anterior</t>
  </si>
  <si>
    <r>
      <t>ESAL</t>
    </r>
    <r>
      <rPr>
        <b/>
        <sz val="7"/>
        <color rgb="FF000000"/>
        <rFont val="Arial"/>
        <family val="2"/>
      </rPr>
      <t xml:space="preserve"> (R.T.E)</t>
    </r>
  </si>
  <si>
    <t>Inversiones efectuadas en el año</t>
  </si>
  <si>
    <t xml:space="preserve">sobretasa instituciones financieras </t>
  </si>
  <si>
    <t>Inversiones liquidadas de periodos gravables anteriores</t>
  </si>
  <si>
    <t>Anticipo sobretasa instituciones financieras año gravable siguiente</t>
  </si>
  <si>
    <t>Renta por recuperación de deducciones</t>
  </si>
  <si>
    <r>
      <t xml:space="preserve">Saldo a pagar por impuesto </t>
    </r>
    <r>
      <rPr>
        <sz val="8"/>
        <color rgb="FF000000"/>
        <rFont val="Arial"/>
        <family val="2"/>
      </rPr>
      <t>(97+106+108+109-98-99-100-101-102-105-107)</t>
    </r>
  </si>
  <si>
    <t>Renta pasiva-ECE sin residencia fiscal en Colombia</t>
  </si>
  <si>
    <t>Sanciones</t>
  </si>
  <si>
    <r>
      <t xml:space="preserve">Renta líquida ordinaria del ejercicio </t>
    </r>
    <r>
      <rPr>
        <sz val="8"/>
        <color rgb="FF000000"/>
        <rFont val="Arial"/>
        <family val="2"/>
      </rPr>
      <t>(61+69+70+71-51-52-53-54-55-56-67-68)</t>
    </r>
  </si>
  <si>
    <r>
      <t xml:space="preserve">Total saldo a pagar </t>
    </r>
    <r>
      <rPr>
        <sz val="7"/>
        <color rgb="FF000000"/>
        <rFont val="Arial"/>
        <family val="2"/>
      </rPr>
      <t>(97+106+108+109+111-98-99-100-101-102-105-107)</t>
    </r>
  </si>
  <si>
    <r>
      <t xml:space="preserve">Pérdida líquida del ejercicio </t>
    </r>
    <r>
      <rPr>
        <sz val="8"/>
        <color rgb="FF000000"/>
        <rFont val="Arial"/>
        <family val="2"/>
      </rPr>
      <t>(51+52+53+54+55+56+67+68-61-69-70-71)</t>
    </r>
  </si>
  <si>
    <r>
      <t xml:space="preserve">Total saldo a favor </t>
    </r>
    <r>
      <rPr>
        <sz val="7"/>
        <color indexed="8"/>
        <rFont val="Arial"/>
        <family val="2"/>
      </rPr>
      <t>(98+99+100+101+102+105+107-97-106-108-109-111)</t>
    </r>
  </si>
  <si>
    <t>Valor impuesto exigible por obras por impuestos modalidad de pago 1</t>
  </si>
  <si>
    <t>Renta líquida (72-74)</t>
  </si>
  <si>
    <t>Valor total proyecto obras por impuestos modalidad de pago 2</t>
  </si>
  <si>
    <r>
      <t xml:space="preserve">Renta Liquida sin casilla 47 y 48 </t>
    </r>
    <r>
      <rPr>
        <sz val="8"/>
        <color rgb="FF000000"/>
        <rFont val="Arial"/>
        <family val="2"/>
      </rPr>
      <t>(64-66)</t>
    </r>
  </si>
  <si>
    <t>981. Cód. Representación</t>
  </si>
  <si>
    <t>Firma del declarante o de quien lo representa</t>
  </si>
  <si>
    <t>900. Pago Total $</t>
  </si>
  <si>
    <t>982. Código contador o Revisor Fiscal</t>
  </si>
  <si>
    <t>Firma del contador o Revisor Fiscal</t>
  </si>
  <si>
    <t>994. Con salvedad</t>
  </si>
  <si>
    <t>983. N. tarjeta Profesional</t>
  </si>
  <si>
    <t>x</t>
  </si>
  <si>
    <t>Valor $</t>
  </si>
  <si>
    <t>TRM dic 31</t>
  </si>
  <si>
    <t>Valor en USD</t>
  </si>
  <si>
    <t>Tasa original</t>
  </si>
  <si>
    <t>En el auxiliar observo las consignaciones realizadas en la cuentra (desde la más reciente hasta la más antigua)</t>
  </si>
  <si>
    <t>Métodología</t>
  </si>
  <si>
    <t>PEPS</t>
  </si>
  <si>
    <t>Auxiliar</t>
  </si>
  <si>
    <t>Saldo en USD</t>
  </si>
  <si>
    <t>Varias</t>
  </si>
  <si>
    <t>Valor en pesos</t>
  </si>
  <si>
    <t>DC no realizada</t>
  </si>
  <si>
    <t>Ajuste fiscal por el resultado generado por diferencia en cambio no realizada</t>
  </si>
  <si>
    <t>Ajuste al resultado periodo 2020</t>
  </si>
  <si>
    <t>Ajuste al saldo del efectivo en 2019 x DC no real</t>
  </si>
  <si>
    <t>Se ajusta con signo contrario la Dc no realizada del año anterior (activo)</t>
  </si>
  <si>
    <t>Efecto en renta 2020</t>
  </si>
  <si>
    <t>Cuentas por cobrar a clientes del exterior</t>
  </si>
  <si>
    <t>Factura</t>
  </si>
  <si>
    <t>Fecha Fra</t>
  </si>
  <si>
    <t>Tasa de cierre</t>
  </si>
  <si>
    <t>Tasa historica</t>
  </si>
  <si>
    <t>Saldo fiscal</t>
  </si>
  <si>
    <t>Socio</t>
  </si>
  <si>
    <t>Aumentos</t>
  </si>
  <si>
    <t>Abonos</t>
  </si>
  <si>
    <t>Fecha del movimiento</t>
  </si>
  <si>
    <t>Días del préstamo</t>
  </si>
  <si>
    <t>Interés presuntivo</t>
  </si>
  <si>
    <t>Tasa de interes presunto</t>
  </si>
  <si>
    <t>Gasto fiscal (ingreso) por deterioro del periodo</t>
  </si>
  <si>
    <t>Gasto NIIF (ingreso) del periodo deterioro</t>
  </si>
  <si>
    <t>Anexo 15 Justificación Patrimonial</t>
  </si>
  <si>
    <t>Art. 236, 237 y 238 ET</t>
  </si>
  <si>
    <t>Patrimonio líquido año actual</t>
  </si>
  <si>
    <t>Patrimonio líquido año anterior</t>
  </si>
  <si>
    <t>Menos (Más) :</t>
  </si>
  <si>
    <t xml:space="preserve">Valorizaciones nominales </t>
  </si>
  <si>
    <t>Normalización de activos omitidos y/o pasivos inexistentes</t>
  </si>
  <si>
    <t>Diferencia patrimonial a justificar</t>
  </si>
  <si>
    <t>SE JUSTIFICA CON:</t>
  </si>
  <si>
    <t>Ingresos no Constitutivos de Renta ni de Ganancia Ocasional</t>
  </si>
  <si>
    <t>Amortización Exceso Renta Presuntiva sobre Renta Liquida y comp. De pérdidas</t>
  </si>
  <si>
    <t>Total Justificado</t>
  </si>
  <si>
    <t>Menos:</t>
  </si>
  <si>
    <t>Gasto Impuesto de Renta año gravable</t>
  </si>
  <si>
    <t>Total justificación patrimonial</t>
  </si>
  <si>
    <t>Diferencia a Justificar</t>
  </si>
  <si>
    <t>Impuesto Neto de Renta del año actual</t>
  </si>
  <si>
    <t>Sin GO</t>
  </si>
  <si>
    <t>Anticipo opción 1</t>
  </si>
  <si>
    <t>Impuesto Neto de Renta año anterior</t>
  </si>
  <si>
    <t>Impuesto Neto de Renta del año gravable</t>
  </si>
  <si>
    <t>Subtotal</t>
  </si>
  <si>
    <t>Promedio</t>
  </si>
  <si>
    <t>Anticipo opción 2</t>
  </si>
  <si>
    <t>Valor del anticipo año siguiente</t>
  </si>
  <si>
    <t>Patrimonio bruto año anterior</t>
  </si>
  <si>
    <t>% Valor Patrimonial Neto</t>
  </si>
  <si>
    <t>Valor Patrimonial Neto de aportes y acciones en sociedades nacionales (art 189 Lit a))</t>
  </si>
  <si>
    <t>Valor Patrimonial Neto de bienes afectados por hechos de fuerza mayor o caso fortuito (art 189 Lit b))</t>
  </si>
  <si>
    <t>Valor Patrimonial Neto de los bienes en Empresas en Periodo Improductivo (art 189 Lit c))</t>
  </si>
  <si>
    <t>Valor Patrimonial Neto de Bienes Vinculados a Empresas Mineras (art 189 Lit d))</t>
  </si>
  <si>
    <t>Las Primeras 19.000 UVT de los Activos Vinculados al Sector Agropecuario (art 189 Lit e))</t>
  </si>
  <si>
    <t>Hasta tope</t>
  </si>
  <si>
    <t>Patrimonio líquido base de calculo</t>
  </si>
  <si>
    <t>Más renta generada por los activos exceptuados</t>
  </si>
  <si>
    <t/>
  </si>
  <si>
    <t>Renta Año gravable 2020</t>
  </si>
  <si>
    <t>AUTORETENCIONES</t>
  </si>
  <si>
    <t>No adicionar nuevas filas en este anexo.</t>
  </si>
  <si>
    <t>F2516</t>
  </si>
  <si>
    <t>NIT</t>
  </si>
  <si>
    <t>DV</t>
  </si>
  <si>
    <t>NOMBRE Y/O RAZON SOCIAL</t>
  </si>
  <si>
    <t>DIRECCIÓN</t>
  </si>
  <si>
    <t>CIUDAD</t>
  </si>
  <si>
    <t>BASE</t>
  </si>
  <si>
    <t>AUTORENTA</t>
  </si>
  <si>
    <t>CONCEPTO</t>
  </si>
  <si>
    <t>N. FORMULARIO</t>
  </si>
  <si>
    <t>AUDITO</t>
  </si>
  <si>
    <t>TOTAL</t>
  </si>
  <si>
    <t>RETENCIONES EN LA FUENTE</t>
  </si>
  <si>
    <t>RETENCIÓN CONTABLE</t>
  </si>
  <si>
    <t>RETENCIÓN CERTIFICADA (sin incluir retefuentes del exterio)</t>
  </si>
  <si>
    <t>DIFERENCIA</t>
  </si>
  <si>
    <t xml:space="preserve">% </t>
  </si>
  <si>
    <t>RETEFUENTE</t>
  </si>
  <si>
    <t xml:space="preserve">RESUMEN POR CONCEPTO </t>
  </si>
  <si>
    <t>RESUMEN POR DETALLE 2516</t>
  </si>
  <si>
    <t>Autorenta Decreto 2201 de 2016</t>
  </si>
  <si>
    <t>Por ventas</t>
  </si>
  <si>
    <t>Autorenta Ventas</t>
  </si>
  <si>
    <t>Por servicios</t>
  </si>
  <si>
    <t>Autorenta honorarios</t>
  </si>
  <si>
    <t>Por rendimientos financieros</t>
  </si>
  <si>
    <t>Autorenta comisiones</t>
  </si>
  <si>
    <t>Por otros conceptos</t>
  </si>
  <si>
    <t>Autorenta servicios</t>
  </si>
  <si>
    <t>Total  Autorretenciones</t>
  </si>
  <si>
    <t>Autorenta rendimiento financieros</t>
  </si>
  <si>
    <t>Autorenta otros conceptos</t>
  </si>
  <si>
    <t>TOTAL AUTO RENTAS</t>
  </si>
  <si>
    <t>RETEFUENTES A FAVOR</t>
  </si>
  <si>
    <t>Rentas de trabajo</t>
  </si>
  <si>
    <t>Rentas de pensiones</t>
  </si>
  <si>
    <t>Por honorarios y comisiones</t>
  </si>
  <si>
    <t>Por dividendos y participaciones</t>
  </si>
  <si>
    <t>Rendimientos financieros</t>
  </si>
  <si>
    <t>Total otras retenciones</t>
  </si>
  <si>
    <t>Regalias y explotación de la propiedad intelectual</t>
  </si>
  <si>
    <t>Dividendos y participacione</t>
  </si>
  <si>
    <t>Transaccciones Tarjetas DB y CR</t>
  </si>
  <si>
    <t>Contratos de construccione</t>
  </si>
  <si>
    <t>Enajenación de activos ante transito  o notarias</t>
  </si>
  <si>
    <t>Loterias Rifas y similares</t>
  </si>
  <si>
    <t>Otros pagos sujetos a retención</t>
  </si>
  <si>
    <t>TOTAL RETEFUENTES</t>
  </si>
  <si>
    <t>X</t>
  </si>
  <si>
    <t>VALOR</t>
  </si>
  <si>
    <t>INFORMACIÓN CONTABLE PARA AJUSTE FISCAL</t>
  </si>
  <si>
    <t>CUENTA CONTABLE</t>
  </si>
  <si>
    <t>Gasto de distribución y ventas</t>
  </si>
  <si>
    <t>TOTAL GASTO SEGÚN CONTABILIDAD</t>
  </si>
  <si>
    <t>DATOS INFORMATIVOS</t>
  </si>
  <si>
    <t>FECHA DE PAGO</t>
  </si>
  <si>
    <t>MUNICIPIO</t>
  </si>
  <si>
    <t>PERIODO</t>
  </si>
  <si>
    <t>IMPUESTO DE IND. Y CIO</t>
  </si>
  <si>
    <t>AVISOS Y TABLEROS</t>
  </si>
  <si>
    <t>TASA BOMBERIL</t>
  </si>
  <si>
    <t>NO USAR</t>
  </si>
  <si>
    <t>OTROS IMPUESTOS</t>
  </si>
  <si>
    <t>(-) ANTICIPO AÑO ANTERIOR</t>
  </si>
  <si>
    <t>(+) ANTICIPO AÑO ACTUAL</t>
  </si>
  <si>
    <t>(-) Reteicas</t>
  </si>
  <si>
    <t>(-) DESCUENTO PRONTO PAGO</t>
  </si>
  <si>
    <t>TOTAL A PAGAR</t>
  </si>
  <si>
    <t>TOTAL EFECTIVAMENTE PAGADO</t>
  </si>
  <si>
    <t>RESUMEN GASTOS MENOS DESCUENTO TRIBUTARIO</t>
  </si>
  <si>
    <t>TOTAL IMPUESTO IND. Y C</t>
  </si>
  <si>
    <t>TOTAL AVISOS Y TABLEROS</t>
  </si>
  <si>
    <t>TOTAL TASA BOMBERIL</t>
  </si>
  <si>
    <t>TOTAL AUTORRETENCION ICA</t>
  </si>
  <si>
    <t>(-) DESCUENTOS POR PRONTO PAGO</t>
  </si>
  <si>
    <t>(-) VALORES A MANEJAR COMO DESCUENTO TRIBUTARIO</t>
  </si>
  <si>
    <t xml:space="preserve">(-) AUTORRETENCIÓN DE ICA </t>
  </si>
  <si>
    <t>TOTAL DEDUCCIÓN DE ICA</t>
  </si>
  <si>
    <r>
      <t xml:space="preserve">FECHA </t>
    </r>
    <r>
      <rPr>
        <sz val="10"/>
        <color theme="0"/>
        <rFont val="Arial"/>
        <family val="2"/>
      </rPr>
      <t>PRESENTACIÓN</t>
    </r>
  </si>
  <si>
    <t>$ COMPENSAR</t>
  </si>
  <si>
    <r>
      <t>VPF2017 </t>
    </r>
    <r>
      <rPr>
        <u/>
        <sz val="11"/>
        <color rgb="FF000000"/>
        <rFont val="Arial"/>
        <family val="2"/>
      </rPr>
      <t>= (PFirc *TRyC) + (PFCREE * (TCREE))</t>
    </r>
  </si>
  <si>
    <t>                     TRyC2017</t>
  </si>
  <si>
    <t>HISTÓRICO DE PÉRDIDAS  EN RENTA</t>
  </si>
  <si>
    <t>AÑO GRAVABLE</t>
  </si>
  <si>
    <t>PÉRDIDA RENTA</t>
  </si>
  <si>
    <t>% RF</t>
  </si>
  <si>
    <t>HISTÓRICO DE PÉRDIDAS  EN CREE</t>
  </si>
  <si>
    <t>PÉRDIDA CREE</t>
  </si>
  <si>
    <t>RESUMEN DE COMPENSACIONES</t>
  </si>
  <si>
    <t>TIPO DE PERDIDA</t>
  </si>
  <si>
    <t>VALOR DIGITADO</t>
  </si>
  <si>
    <t>A COMPENSAR</t>
  </si>
  <si>
    <t>Por pérdidas</t>
  </si>
  <si>
    <t>Por Excesos de RP</t>
  </si>
  <si>
    <r>
      <t>VEF2017 </t>
    </r>
    <r>
      <rPr>
        <u/>
        <sz val="11"/>
        <color rgb="FF000000"/>
        <rFont val="Arial"/>
        <family val="2"/>
      </rPr>
      <t>= (ERPirc *TRyC) + (EBMCREE * (TCREE))</t>
    </r>
  </si>
  <si>
    <t>                                   TRyC2017</t>
  </si>
  <si>
    <t xml:space="preserve">HISTÓRICO DE EXCESO DE RENTA PRESUNTIVA  </t>
  </si>
  <si>
    <t>EXCESO R. PRESUNT.</t>
  </si>
  <si>
    <t>HISTORICO DE BASE MINIMA  EN CREE</t>
  </si>
  <si>
    <t>EXCESO B. MINIMA</t>
  </si>
  <si>
    <t>FILA</t>
  </si>
  <si>
    <t>VALOR CONTABLE</t>
  </si>
  <si>
    <t>EFECTO DE CONVERSIÓN
(Moneda Funcional Diferente al Peso Colombiano</t>
  </si>
  <si>
    <t>MENOR VALOR FISCAL (por reconocimiento, exenciones, etc.)</t>
  </si>
  <si>
    <t>MAYOR VALOR FISCAL (por reconocimiento, exenciones, etc.)</t>
  </si>
  <si>
    <t xml:space="preserve">VALOR FISCAL </t>
  </si>
  <si>
    <t>ACTIVOS</t>
  </si>
  <si>
    <t>Efectivo</t>
  </si>
  <si>
    <t>Equivalentes al efectivo</t>
  </si>
  <si>
    <t xml:space="preserve">Efectivo restringido </t>
  </si>
  <si>
    <t>Inversiones e instrumentos financieros derivados (Valor Neto)</t>
  </si>
  <si>
    <t>Inversiones e instrumentos financieros derivados (Valor Bruto)</t>
  </si>
  <si>
    <t>Derechos de recompra de inversiones</t>
  </si>
  <si>
    <t>Valor razonable con cambios en el ORI</t>
  </si>
  <si>
    <t>Método de la participación</t>
  </si>
  <si>
    <t>Al costo</t>
  </si>
  <si>
    <t>Instrumentos de deuda a costo amortizado</t>
  </si>
  <si>
    <t>Instrumentos de deuda o patrimonio al costo</t>
  </si>
  <si>
    <t>Instrumentos de deuda o patrimonio al valor razonable con cambios en resultados</t>
  </si>
  <si>
    <t>Instrumentos de deuda o patrimonio al  valor razonable con cambios en el ORI</t>
  </si>
  <si>
    <t>Instrumentos financieros derivados con fines de negociación</t>
  </si>
  <si>
    <t>Instrumentos financieros derivados con fines de cobertura</t>
  </si>
  <si>
    <t>Derechos fiduciarios</t>
  </si>
  <si>
    <t>Otros</t>
  </si>
  <si>
    <t>Deterioro acumulado de inversiones</t>
  </si>
  <si>
    <t>Cuentas comerciales por cobrar y otras cuentas por cobrar</t>
  </si>
  <si>
    <t>Cuentas y documentos por cobrar</t>
  </si>
  <si>
    <t>Cartera de crédito (préstamos bancarios)</t>
  </si>
  <si>
    <t>Cuentas  comerciales por cobrar</t>
  </si>
  <si>
    <t>Cuentas por cobrar en acuerdos de concesión (modelo del activo financiero)</t>
  </si>
  <si>
    <t>Arrendamiento financiero o leasing financiero</t>
  </si>
  <si>
    <t>Dividendos y participaciones</t>
  </si>
  <si>
    <t>Cuentas por cobrar a socios, accionistas o partícipes</t>
  </si>
  <si>
    <t>Cuentas y documentos por cobrar a otras partes relacionadas y asociadas</t>
  </si>
  <si>
    <t>Primas de seguros por recaudar</t>
  </si>
  <si>
    <t>Cartera de difícil cobro</t>
  </si>
  <si>
    <t>Reclamaciones por cobrar</t>
  </si>
  <si>
    <t>Anticipos de pagos</t>
  </si>
  <si>
    <t>Otras cuentas y documentos por cobrar</t>
  </si>
  <si>
    <t>Deterioro acumulado del valor cuentas y documentos por cobrar</t>
  </si>
  <si>
    <t>Cuentas comerciales por cobrar</t>
  </si>
  <si>
    <t>Cuentas por cobrar a otras partes relacionadas y asociadas</t>
  </si>
  <si>
    <t>Otras cuentas por cobrar</t>
  </si>
  <si>
    <t>Para la venta, no producidos por la empresa</t>
  </si>
  <si>
    <t>En tránsito</t>
  </si>
  <si>
    <t>Materias primas, suministros y materiales</t>
  </si>
  <si>
    <t>En proceso (diferentes de obras o inmuebles en construcción para la venta)</t>
  </si>
  <si>
    <t>Costos prestadores de servicios</t>
  </si>
  <si>
    <t>Producto terminado (diferentes de obras o inmuebles terminados para la venta)</t>
  </si>
  <si>
    <t>Obras o inmuebles en construcción para la venta</t>
  </si>
  <si>
    <t>Obras o inmuebles terminados para la venta</t>
  </si>
  <si>
    <t>Piezas de repuesto y equipo auxiliar clasificados como inventarios</t>
  </si>
  <si>
    <t>Inventario que surge de la actividad de extracción</t>
  </si>
  <si>
    <t>Deterioro acumulado del valor de inventarios</t>
  </si>
  <si>
    <t>Publicidad</t>
  </si>
  <si>
    <t>Primas de seguros</t>
  </si>
  <si>
    <t>Activos por impuestos corrientes</t>
  </si>
  <si>
    <t>Saldos a favor por el impuesto de renta</t>
  </si>
  <si>
    <t>Saldos a favor - otros impuestos y gravámenes</t>
  </si>
  <si>
    <t xml:space="preserve">Descuentos Tributarios </t>
  </si>
  <si>
    <t>Anticipos y otros</t>
  </si>
  <si>
    <t>Terrenos</t>
  </si>
  <si>
    <t>Construcciones en proceso</t>
  </si>
  <si>
    <t>Edificios</t>
  </si>
  <si>
    <t>Ajuste acumulado por revaluaciones o reexpresiones</t>
  </si>
  <si>
    <t>Activos tangibles para exploración y evaluación de recursos minerales</t>
  </si>
  <si>
    <t>Otras propiedades, planta y equipo</t>
  </si>
  <si>
    <t>Depreciación acumulada de propiedades, planta y equipo</t>
  </si>
  <si>
    <t>Deterioro acumulado de propiedades, planta y equipo</t>
  </si>
  <si>
    <t xml:space="preserve">Activos intangibles   </t>
  </si>
  <si>
    <t>Activos intangibles distintos a la plusvalía</t>
  </si>
  <si>
    <t>Acuerdos de concesión (modelo del activo intangible)</t>
  </si>
  <si>
    <t>Activos intangibles exploración y evaluación de recursos minerales</t>
  </si>
  <si>
    <t>Marcas, patentes, licencias y otros derechos</t>
  </si>
  <si>
    <t>Arrendamiento Financiero</t>
  </si>
  <si>
    <t>Otros activos intangibles</t>
  </si>
  <si>
    <t>Amortización acumulada de activos intangibles distintos de la plusvalía</t>
  </si>
  <si>
    <t>Deterioro acumulado de activos intangibles distintos de la plusvalía</t>
  </si>
  <si>
    <t>Plusvalía o Good Will</t>
  </si>
  <si>
    <t>Adquisición de establecimiento de comercio</t>
  </si>
  <si>
    <t>Fusiones</t>
  </si>
  <si>
    <t>Escisiones</t>
  </si>
  <si>
    <t>Compra de acciones</t>
  </si>
  <si>
    <t>Amortización acumulada de la plusvalía o Good Will</t>
  </si>
  <si>
    <t xml:space="preserve">Deterioro acumulado de la plusvalía o Good Will  </t>
  </si>
  <si>
    <t>Terrenos y edificios</t>
  </si>
  <si>
    <t>Al valor razonable</t>
  </si>
  <si>
    <t>Depreciación acumulada de propiedades de inversión</t>
  </si>
  <si>
    <t>Deterioro acumulado de propiedades de inversión</t>
  </si>
  <si>
    <t>Activos no corrientes</t>
  </si>
  <si>
    <t>Mantenidos para la venta</t>
  </si>
  <si>
    <t xml:space="preserve">Deterioro acumulado activos no corrientes mantenidos para la venta </t>
  </si>
  <si>
    <t>Mantenidos para distribuir a los propietarios</t>
  </si>
  <si>
    <t xml:space="preserve">Deterioro acumulado activos no corrientes mantenidos para distribuir a los propietarios </t>
  </si>
  <si>
    <t>Animales vivos</t>
  </si>
  <si>
    <t>Animales productores medidos al costo</t>
  </si>
  <si>
    <t xml:space="preserve">Depreciación acumulada de animales productores medidos al costo </t>
  </si>
  <si>
    <t xml:space="preserve">Deterioro acumulado de animales productores medidos al costo </t>
  </si>
  <si>
    <t>Animales productores medidos al valor razonable menos costos de venta</t>
  </si>
  <si>
    <t>Animales consumibles medidos al costo</t>
  </si>
  <si>
    <t>Deterioro acumulado animales consumibles medidos al costo</t>
  </si>
  <si>
    <t>Animales consumibles medidos al valor razonable menos costos de venta</t>
  </si>
  <si>
    <t>Plantas productoras y cultivos consumibles</t>
  </si>
  <si>
    <t>Plantas productoras medidas al costo</t>
  </si>
  <si>
    <t>Depreciación acumulada de plantas productoras</t>
  </si>
  <si>
    <t>Deterioro acumulado de plantas productoras</t>
  </si>
  <si>
    <t>Plantas productoras medidas al valor razonable</t>
  </si>
  <si>
    <t>Cultivos consumibles medidos al costo</t>
  </si>
  <si>
    <t>Deterioro acumulado cultivos consumibles medidos al costo</t>
  </si>
  <si>
    <t>Cultivos consumibles medidos al valor razonable menos costos de venta</t>
  </si>
  <si>
    <t>Activos plan de beneficios a empleados</t>
  </si>
  <si>
    <t>Activos reconocidos solamente para fines fiscales</t>
  </si>
  <si>
    <t>TOTAL ACTIVOS</t>
  </si>
  <si>
    <t>PASIVOS</t>
  </si>
  <si>
    <t>Obligaciones financieras y cuentas por pagar</t>
  </si>
  <si>
    <t>Obligaciones financieras en moneda local</t>
  </si>
  <si>
    <t>Obligaciones financieras en moneda extranjera</t>
  </si>
  <si>
    <t>Depósitos y exigibilidades</t>
  </si>
  <si>
    <t>Cuentas comerciales por pagar en moneda local</t>
  </si>
  <si>
    <t>Cuentas comerciales por pagar en moneda extranjera</t>
  </si>
  <si>
    <t>Dividendos y participaciones por pagar</t>
  </si>
  <si>
    <t>Cuentas por pagar a socios, accionistas o partícipes</t>
  </si>
  <si>
    <t>Cuentas y documentos por pagar a otras partes relacionadas y asociadas</t>
  </si>
  <si>
    <t>Reserva matemática y/o técnica y otros pasivos exclusivos en compañias de seguros</t>
  </si>
  <si>
    <t>Recaudos a favor de terceros</t>
  </si>
  <si>
    <t>Otras cuentas y documentos por pagar en moneda local</t>
  </si>
  <si>
    <t>Otras cuentas y documentos por pagar en moneda extranjera</t>
  </si>
  <si>
    <t>Arrendamientos por pagar</t>
  </si>
  <si>
    <t>Financiero o leasing - partes no relacionadas</t>
  </si>
  <si>
    <t>Financiero o leasing - partes relacionadas</t>
  </si>
  <si>
    <t>Operativo</t>
  </si>
  <si>
    <t>Otros pasivos financieros</t>
  </si>
  <si>
    <t>Bonos y documentos equivalentes</t>
  </si>
  <si>
    <t xml:space="preserve">Instrumentos financieros derivados </t>
  </si>
  <si>
    <t>Acciones preferenciales o aportes de capital clasificados como pasivos</t>
  </si>
  <si>
    <t>Impuestos, gravámenes y tasas por pagar</t>
  </si>
  <si>
    <t>Impuesto de renta</t>
  </si>
  <si>
    <t>Impuesto al valor agregado - IVA</t>
  </si>
  <si>
    <t>Otros impuestos, gravámenes y tasas por pagar</t>
  </si>
  <si>
    <t>Pasivos por beneficios a los empleados</t>
  </si>
  <si>
    <t>De corto plazo</t>
  </si>
  <si>
    <t>De largo plazo</t>
  </si>
  <si>
    <t>Por terminación del vínculo laboral o contractual</t>
  </si>
  <si>
    <t xml:space="preserve">Post empleo </t>
  </si>
  <si>
    <t>Provisiones</t>
  </si>
  <si>
    <t>Procesos legales (litigios y demandas)</t>
  </si>
  <si>
    <t>Mantenimiento y reparaciones</t>
  </si>
  <si>
    <t>Obligaciones fiscales</t>
  </si>
  <si>
    <t>Desmantelamientos, restauración y rehabilitación</t>
  </si>
  <si>
    <t>Contratos onerosos</t>
  </si>
  <si>
    <t>Reembolsos a clientes</t>
  </si>
  <si>
    <t>Reestructuraciones de negocios</t>
  </si>
  <si>
    <t>Pasivos contingentes asumidos en una combinación de negocios</t>
  </si>
  <si>
    <t>Relacionadas con el medio ambiente</t>
  </si>
  <si>
    <t>Otras provisiones</t>
  </si>
  <si>
    <t>Pasivos por ingresos diferidos</t>
  </si>
  <si>
    <t>Anticipos y avances recibidos de clientes</t>
  </si>
  <si>
    <t>Ingresos diferidos por programas de fidelización</t>
  </si>
  <si>
    <t>Subvenciones del gobierno y otras ayudas</t>
  </si>
  <si>
    <t>Otros pasivos por ingresos diferidos</t>
  </si>
  <si>
    <t>Otros pasivos</t>
  </si>
  <si>
    <t>Depósitos recibidos</t>
  </si>
  <si>
    <t>Retenciones a terceros sobre contratos</t>
  </si>
  <si>
    <t>Embargos judiciales</t>
  </si>
  <si>
    <t>Cuentas en participación</t>
  </si>
  <si>
    <t>Pasivo para ejecución de excedentes - Régimen Tributario Especial</t>
  </si>
  <si>
    <t>Fondos sociales, mutuales y otros</t>
  </si>
  <si>
    <t>Pasivos reconocidos solamente para fines fiscales</t>
  </si>
  <si>
    <t>TOTAL PASIVOS</t>
  </si>
  <si>
    <t>PATRIMONIO (ACTIVOS - PASIVOS)</t>
  </si>
  <si>
    <t>DETALLE PATRIMONIO CONTABLE</t>
  </si>
  <si>
    <t xml:space="preserve">EFECTO DE CONVERSIÓN
</t>
  </si>
  <si>
    <t>Capital social y reservas</t>
  </si>
  <si>
    <t>Capital pagado</t>
  </si>
  <si>
    <t>Acciones, cuotas o partes de interés social propias en cartera</t>
  </si>
  <si>
    <t>Aportes sociales</t>
  </si>
  <si>
    <t>Capital asignado</t>
  </si>
  <si>
    <t>Fondo social mutual</t>
  </si>
  <si>
    <t>Superávit de capital</t>
  </si>
  <si>
    <t>Donaciones</t>
  </si>
  <si>
    <t>Reservas legales o estatutarias</t>
  </si>
  <si>
    <t>Reservas ocasionales</t>
  </si>
  <si>
    <t>Reservas y fondos entidades solidarias</t>
  </si>
  <si>
    <t>Asignaciones permanentes - Régimen Tributario Especial</t>
  </si>
  <si>
    <t>Superávit por revaluaciones</t>
  </si>
  <si>
    <t>Superávit método de participación</t>
  </si>
  <si>
    <t>Dividendos o participaciones decretados en acciones, cuotas o partes de interés social</t>
  </si>
  <si>
    <t>Saldo crédito inversión suplementaria</t>
  </si>
  <si>
    <t>Saldo débito inversión suplementaria</t>
  </si>
  <si>
    <t>Resultados acumulados</t>
  </si>
  <si>
    <t>Utilidades o excedentes acumulados suceptibles de distribución a título de no constitutivos de renta ni ganancia ocasional</t>
  </si>
  <si>
    <t>Utilidades o excedentes acumulados suceptibles de distribución en calidad de gravados</t>
  </si>
  <si>
    <t>Utilidades acumuladas por ajustes por correcciones de errores</t>
  </si>
  <si>
    <t>Utilidades por ajustes por cambios en políticas contables</t>
  </si>
  <si>
    <t>Pérdidas o déficit acumulados</t>
  </si>
  <si>
    <t>Pérdidas acumuladas por ajustes por correcciones de errores</t>
  </si>
  <si>
    <t xml:space="preserve">Pérdidas  por ajustes por cambios en políticas contables </t>
  </si>
  <si>
    <t>Ganancias (pérdidas) acumuladas o retenidas por la adopción por primera vez</t>
  </si>
  <si>
    <t>Ganancias acumuladas netas en la adopción por primera vez</t>
  </si>
  <si>
    <t>Pérdidas acumuladas netas - adopción por primera vez</t>
  </si>
  <si>
    <t>Otro resultado integral acumulado</t>
  </si>
  <si>
    <t>Ajuste positivo por efecto de conversión</t>
  </si>
  <si>
    <t>Ajuste negativo por efecto de conversión</t>
  </si>
  <si>
    <t>Ganancias acumuladas - ORI</t>
  </si>
  <si>
    <t>Pérdidas acumuladas - ORI</t>
  </si>
  <si>
    <t>TOTAL PATRIMONIO CONTABLE</t>
  </si>
  <si>
    <t xml:space="preserve">VALOR CONTABLE </t>
  </si>
  <si>
    <t>EFECTOS DE CONVERSION</t>
  </si>
  <si>
    <t>VALOR FISCAL</t>
  </si>
  <si>
    <t>Total de intereses implícitos no devengados (futuros ingresos financieros en el estado de resultados) por acuerdos que constituyen efectivamente una transacción financiera o cobro diferido</t>
  </si>
  <si>
    <t>Total activos (fideicomitidos y generados) en el periodo gravable por fideicomisos o encargos fiduciarios en donde el contribuyente es fideicomitente o fiduciante</t>
  </si>
  <si>
    <t>Inventarios de terceros</t>
  </si>
  <si>
    <t>Inventarios en poder de terceros</t>
  </si>
  <si>
    <t>Retención en la fuente transladada (Art. 242-1 ET)</t>
  </si>
  <si>
    <t>Total de intereses implícitos no devengados (futuros gastos financieros en el estado de resultados) por acuerdos que constituyen efectivamente una transacción financiera o pago diferido</t>
  </si>
  <si>
    <t>Total pasivos (fideicomitidos y generados) en el periodo gravable por fideicomisos o encargos fiduciarios en donde el contribuyente es fideicomitente o fiduciante</t>
  </si>
  <si>
    <t>PATRIMONIO</t>
  </si>
  <si>
    <t>Dividendos o participaciones gravados decretados en el periodo</t>
  </si>
  <si>
    <t>Dividendos o participaciones no gravados decretados en el periodo</t>
  </si>
  <si>
    <t>Dividendos o participaciones gravados efectivamente pagados o exigibles en el periodo</t>
  </si>
  <si>
    <t>Dividendos o participaciones no gravados efectivamente pagados o exigibles en el periodo</t>
  </si>
  <si>
    <t>Dividendos o participaciones pagados o exigibles en el periodo, con cargo a utilidades del mismo período</t>
  </si>
  <si>
    <t>VALOR CONTABLE (VAL1)</t>
  </si>
  <si>
    <t>EFECTO DE CONVERSIÓN
(Moneda Funcional Diferente al Peso Col.) (VAL2)</t>
  </si>
  <si>
    <t>VALOR FISCAL TOTAL (VAL5)</t>
  </si>
  <si>
    <t>INGRESOS</t>
  </si>
  <si>
    <t>Ingresos netos Actividad Industrial, comercial y servicios</t>
  </si>
  <si>
    <t>Ingresos brutos Actividad Industrial, comercial y servicios</t>
  </si>
  <si>
    <t>Al territorio nacional</t>
  </si>
  <si>
    <t>Exportación a otros países</t>
  </si>
  <si>
    <t>Zona franca</t>
  </si>
  <si>
    <t>Comercializadoras Internacionales</t>
  </si>
  <si>
    <t>Jurisdicciones no cooperantes, de baja o nula imposición y regímenes tributarios preferenciales</t>
  </si>
  <si>
    <t>Vinculado Económicos zona Franca y exterior</t>
  </si>
  <si>
    <t>Prestación de servicios (diferentes de honorarios profesionales)</t>
  </si>
  <si>
    <t>Arrendamientos operativos</t>
  </si>
  <si>
    <t>Regalías</t>
  </si>
  <si>
    <t>Comisiones (relaciones de agencia)</t>
  </si>
  <si>
    <t>Honorarios Profesionales</t>
  </si>
  <si>
    <t>Actividades de seguros y de capitalización</t>
  </si>
  <si>
    <t>Liberación de reservas en contratos de seguros</t>
  </si>
  <si>
    <t>Comisiones bancarias, costos de transacción, entre otros</t>
  </si>
  <si>
    <t>Devoluciones, rebajas y descuentos</t>
  </si>
  <si>
    <t>En venta de bienes</t>
  </si>
  <si>
    <t>En prestación de servicios</t>
  </si>
  <si>
    <t>Otras devoluciones, rebajas y descuentos</t>
  </si>
  <si>
    <t xml:space="preserve">Ingresos financieros </t>
  </si>
  <si>
    <t>Arrendamiento financiero o mercantil (leasing)</t>
  </si>
  <si>
    <t>Intereses - sector financiero</t>
  </si>
  <si>
    <t>Intereses por préstamos a terceros (diferentes al sector financiero)</t>
  </si>
  <si>
    <t>Por instrumentos financieros medidos a costo amortizado distinto a préstamos</t>
  </si>
  <si>
    <t>Intereses implícitos (transacciones de financiación)</t>
  </si>
  <si>
    <t>Otros ingresos financieros</t>
  </si>
  <si>
    <t>Ganancias por inversiones en subsidiarias, asociadas y/o negocios conjuntos</t>
  </si>
  <si>
    <t>Ganancias por el método de participación</t>
  </si>
  <si>
    <t>Ganancias cambios en el valor razonable</t>
  </si>
  <si>
    <t>Ingresos por mediciones a valor razonable</t>
  </si>
  <si>
    <t xml:space="preserve">Instrumentos financieros, diferente a inversiones en subsidiarias, asociadas y/o negocios conjuntos </t>
  </si>
  <si>
    <t>Instrumentos derivados</t>
  </si>
  <si>
    <t>Utilidad en la venta o enajenación de activos, bienes poseídos por menos de dos años</t>
  </si>
  <si>
    <t>Propiedades de Inversión</t>
  </si>
  <si>
    <t>Activos biológicos (sin plantas productoras)</t>
  </si>
  <si>
    <t>Activos no corrientes mantenidos para la venta / entregar a propietarios</t>
  </si>
  <si>
    <t>Activos Intangibles</t>
  </si>
  <si>
    <t>Inversiones en acciones y otras participaciones</t>
  </si>
  <si>
    <t>Por disposición de otros instrumentos financieros</t>
  </si>
  <si>
    <t>Utilidad por venta o enajenación de activos, bienes poseídos por dos años o más (ganancia ocasional)</t>
  </si>
  <si>
    <t>Ingresos por reversión de deterioro del valor</t>
  </si>
  <si>
    <t>Activos de exploración y evaluación de recursos minerales</t>
  </si>
  <si>
    <t>Propiedades de inversión medidas al modelo de costo</t>
  </si>
  <si>
    <t>Activos biológicos medidos al modelo de costo</t>
  </si>
  <si>
    <t>Bienes de arte y cultura</t>
  </si>
  <si>
    <t>Activos financieros (diferentes a cartera de crédito y operaciones de leasing)</t>
  </si>
  <si>
    <t>Cartera de crédito y operaciones de leasing</t>
  </si>
  <si>
    <t>Otras inversiones medidas al costo o el método de la participación</t>
  </si>
  <si>
    <t>Otros deterioros</t>
  </si>
  <si>
    <t>Ingresos por reversión de provisiones (pasivos de monto o fecha inciertos)</t>
  </si>
  <si>
    <t>Litigios</t>
  </si>
  <si>
    <t>Ingresos por reversión de pasivos por beneficios a los empleados</t>
  </si>
  <si>
    <t>Beneficios de corto plazo</t>
  </si>
  <si>
    <t>Beneficios de largo plazo</t>
  </si>
  <si>
    <t>Beneficios a empleados por terminación del vínculo laboral</t>
  </si>
  <si>
    <t>Beneficios a empleados post-empleo</t>
  </si>
  <si>
    <t>Transferencias, subvenciones y ayudas gubernamentales</t>
  </si>
  <si>
    <t>Donaciones, aportaciones y similares</t>
  </si>
  <si>
    <t>Reembolsos de compañías de seguros (indemnizaciones)</t>
  </si>
  <si>
    <t>Otras indemnizaciones</t>
  </si>
  <si>
    <t>Otras reversiones o recuperaciones</t>
  </si>
  <si>
    <t>Ganancias netas en operaciones discontinuadas</t>
  </si>
  <si>
    <t>Ajustes fiscales</t>
  </si>
  <si>
    <t>Adición de ingresos</t>
  </si>
  <si>
    <t>Recuperación de deducciones sin incidencia contable</t>
  </si>
  <si>
    <t>Intereses presuntos</t>
  </si>
  <si>
    <t>Mayor ingreso - Precios de Transferencia</t>
  </si>
  <si>
    <t>Otros ingresos fiscales y no incluidos contablemente</t>
  </si>
  <si>
    <t>Ingresos no constitutivos de renta ni ganancia ocasional</t>
  </si>
  <si>
    <t>TOTAL INGRESOS</t>
  </si>
  <si>
    <t>COSTOS</t>
  </si>
  <si>
    <t>Materias primas, reventa de bienes terminados y servicios</t>
  </si>
  <si>
    <t>Costo de ventas calculado por el sistema permanente</t>
  </si>
  <si>
    <t>Materias primas (para procesos de producción)</t>
  </si>
  <si>
    <t>Inventario inicial</t>
  </si>
  <si>
    <t>compras locales</t>
  </si>
  <si>
    <t>Importaciones</t>
  </si>
  <si>
    <t>Inventario final</t>
  </si>
  <si>
    <t>Costos de los bienes vendidos (para comerciantes por reventa de bienes terminados)</t>
  </si>
  <si>
    <t>Producto terminado</t>
  </si>
  <si>
    <t>Costos en la prestación de servicios (para prestadores de servicios)</t>
  </si>
  <si>
    <t>Otros sistema de determinación del costo de ventas</t>
  </si>
  <si>
    <t>Ajustes</t>
  </si>
  <si>
    <t>Mano de obra</t>
  </si>
  <si>
    <t>Beneficios a empleados</t>
  </si>
  <si>
    <t>Por terminación del vínculo laboral</t>
  </si>
  <si>
    <t>Post-empleo</t>
  </si>
  <si>
    <t>Depreciaciones, amortizaciones y deterioros</t>
  </si>
  <si>
    <t>Depreciación propiedades, planta y equipo</t>
  </si>
  <si>
    <t>Del costo</t>
  </si>
  <si>
    <t>Del ajuste acumulado por revaluaciones o reexpresiones</t>
  </si>
  <si>
    <t>Depreciación propiedades de inversión</t>
  </si>
  <si>
    <t xml:space="preserve">Del costo  </t>
  </si>
  <si>
    <t>Depreciación activos biológicos</t>
  </si>
  <si>
    <t>Amortización activos intangibles</t>
  </si>
  <si>
    <t>Depreciación derechos de uso en arrendamientos operativos (NIIF 16)</t>
  </si>
  <si>
    <t>Otras depreciaciones y amortizaciones</t>
  </si>
  <si>
    <t>Deterioro del valor de los activos</t>
  </si>
  <si>
    <t>Activos no corrientes mantenidos para la venta / distribuir a los propietarios</t>
  </si>
  <si>
    <t>Bienes de arte y cultura medidos al modelo de costo</t>
  </si>
  <si>
    <t>Otras inversiones medidas al costo o por el método de la participación</t>
  </si>
  <si>
    <t>Derechos de uso en arrendamientos operativos (NIIF 16)</t>
  </si>
  <si>
    <t>Otros costos</t>
  </si>
  <si>
    <t>Servicios técnicos</t>
  </si>
  <si>
    <t>Vinculados económicos</t>
  </si>
  <si>
    <t>No vinculados</t>
  </si>
  <si>
    <t>Asistencia técnica</t>
  </si>
  <si>
    <t>Otros conceptos reconocidos como costo en el estado de resultados</t>
  </si>
  <si>
    <t>Otros costos fiscales no reconocidos contablemente</t>
  </si>
  <si>
    <t>Menor costo- ajuste precios de transferencia</t>
  </si>
  <si>
    <t>TOTAL COSTOS</t>
  </si>
  <si>
    <t>GASTOS</t>
  </si>
  <si>
    <t>De administración</t>
  </si>
  <si>
    <t>Otros gastos de administración</t>
  </si>
  <si>
    <t>Impuestos distintos al impuestos de renta y complementarios</t>
  </si>
  <si>
    <t>Servicios administrativos</t>
  </si>
  <si>
    <t>Otros servicios</t>
  </si>
  <si>
    <t>Investigación y desarrollo</t>
  </si>
  <si>
    <t>Reparación, mantenimiento, adecuación e instalaciones</t>
  </si>
  <si>
    <t>Transporte</t>
  </si>
  <si>
    <t>Depreciación Arrendamientos operativos (NIIF 16)</t>
  </si>
  <si>
    <t>Otras depreciaciones</t>
  </si>
  <si>
    <t>Otras amortizaciones</t>
  </si>
  <si>
    <t>Otros gastos de distribución y ventas</t>
  </si>
  <si>
    <t>Constitución de reservas (empresas aseguradoras)</t>
  </si>
  <si>
    <t>Liquidación de siniestros</t>
  </si>
  <si>
    <t>Primas de reaseguros</t>
  </si>
  <si>
    <t xml:space="preserve">Otros gastos  </t>
  </si>
  <si>
    <t>Activos no corrientes mantenidos para la venta o para distribuir a los propietarios</t>
  </si>
  <si>
    <t xml:space="preserve">Gastos financieros </t>
  </si>
  <si>
    <t>Arrendamiento</t>
  </si>
  <si>
    <t xml:space="preserve"> Financiero o mercantil (leasing)</t>
  </si>
  <si>
    <t>Operativo (NIIF 16)</t>
  </si>
  <si>
    <t>Intereses  devengados - sector financiero</t>
  </si>
  <si>
    <t>Intereses devengados por préstamos de terceros (distinto al sector financiero)</t>
  </si>
  <si>
    <t xml:space="preserve">Costos de transacción </t>
  </si>
  <si>
    <t>Actualización de provisiones reconocidas a valor presente</t>
  </si>
  <si>
    <t>Intereses por acciones preferenciales</t>
  </si>
  <si>
    <t>Otros gastos financieros reconocidos como gasto en el estado de resultados</t>
  </si>
  <si>
    <t>Pérdidas por inversiones en subsidiarias, asociadas y/o negocios conjuntos</t>
  </si>
  <si>
    <t>Pérdidas por el método de participación</t>
  </si>
  <si>
    <t>Pérdidas por mediciones a valor razonable</t>
  </si>
  <si>
    <t>Otras</t>
  </si>
  <si>
    <t>Pérdida en la venta o enajenación de activos fijos</t>
  </si>
  <si>
    <t>propiedades de inversión</t>
  </si>
  <si>
    <t>Valoración y venta de inversiones fondo de liquidez y títulos participativos, entre otros</t>
  </si>
  <si>
    <t>Descuento en operaciones de factoring</t>
  </si>
  <si>
    <t>Gastos por provisiones (pasivos de monto o fecha inciertos)</t>
  </si>
  <si>
    <t>Contribuciones a educación de los empleados</t>
  </si>
  <si>
    <t>Deducciones fiscales no reconocidos contablemente</t>
  </si>
  <si>
    <t>Pérdidas netas en operaciones discontinuadas</t>
  </si>
  <si>
    <t>Menor gasto o deducción - Ajuste precios de Transferencia</t>
  </si>
  <si>
    <t>TOTAL GASTOS</t>
  </si>
  <si>
    <t>GANANCIA O PÉRDIDA ANTES DE IMPUESTO A LA RENTA (incluyendo dividendos)</t>
  </si>
  <si>
    <t>Valor fiscal al que tiene derecho</t>
  </si>
  <si>
    <t>Valor fiscal solicitado</t>
  </si>
  <si>
    <t>Utilidad en la venta o enajenación de activos poseídos por dos años o más (ganancia ocasional)</t>
  </si>
  <si>
    <t>Otros beneficios fiscales</t>
  </si>
  <si>
    <t>Deducción especiales por inversiones o en adquisición de activos (contrato de estabilidad jurídica)</t>
  </si>
  <si>
    <t>Inversiones en investigación, desarrollo tecnológico e innovación</t>
  </si>
  <si>
    <t>Mayor valor del costo de los activos fijos por reajustes fiscales o saneamientos año 1995</t>
  </si>
  <si>
    <t>Recuperación de deducciones (valor fiscal)</t>
  </si>
  <si>
    <t>Salarios con deducciones especiales</t>
  </si>
  <si>
    <t>Reintegro o recuperación de provisiones que constituyan diferencias permanentes, en períodos anteriores – provisiones para gastos no deducibles</t>
  </si>
  <si>
    <t>Ajuste por atribución de rentas establecimientos permanentes y sucursales</t>
  </si>
  <si>
    <t>Otros beneficios fiscales de naturaleza permanente</t>
  </si>
  <si>
    <t>Pérdidas y Gastos no deducibles</t>
  </si>
  <si>
    <t>Deducciones de impuestos (GMF, Patrimonio vehículos, entre otros)</t>
  </si>
  <si>
    <t>Gastos sin soporte</t>
  </si>
  <si>
    <t>Pagos al exterior sin la prueba de la retención en la fuente</t>
  </si>
  <si>
    <t>Pagos al exterior que exceden el 15% de la renta líquida</t>
  </si>
  <si>
    <t>Donaciones que no cumplan los requisitos legales</t>
  </si>
  <si>
    <t>Salarios sin el pago de los aportes parafiscales</t>
  </si>
  <si>
    <t>Gastos de vigencias anteriores</t>
  </si>
  <si>
    <t>Gasto financiero no deducible por regla de subcapitalización</t>
  </si>
  <si>
    <t>Otros gastos financieros no deducibles</t>
  </si>
  <si>
    <t>Deterioro de inversiones para cubrir una pérdida en enajenación de acciones</t>
  </si>
  <si>
    <t>Pérdida en la enajenación de acciones y venta de bienes inmuebles</t>
  </si>
  <si>
    <t>Pérdidas no deducibles por faltantes de inventarios</t>
  </si>
  <si>
    <t>Perdidas por el método de participación</t>
  </si>
  <si>
    <t>Pagos de regalías por concepto de intangibles a vinculados del exterior y zonas francas</t>
  </si>
  <si>
    <t>Limitación de costos por compras a proveedores ficticios o insolventes</t>
  </si>
  <si>
    <t>Impuestos, multas, sanciones, intereses moratorios y las condenas no deducibles</t>
  </si>
  <si>
    <t>Gastos que no guardan relación de causalidad y necesidad con la actividad productora de renta</t>
  </si>
  <si>
    <t>Monto que supera el limite permitido para atenciones a clientes, proveedores y empleados</t>
  </si>
  <si>
    <t>Importación de tecnología, patentes y marcas</t>
  </si>
  <si>
    <t>Gastos no deducibles en contratos de arrendamientos, de naturaleza permanente</t>
  </si>
  <si>
    <t>Gastos no deducibles por operaciones gravadas con IVA realizadas con personas no inscritas en el Régimen Común del Impuesto Sobre las Ventas</t>
  </si>
  <si>
    <t>Gasto no deducible por donaciones</t>
  </si>
  <si>
    <t>Gastos no deducibles, atribuibles a ingresos exentos o no constitutivos de renta ni ganancia ocasional</t>
  </si>
  <si>
    <t>Otros gastos no deducibles de naturaleza permanente</t>
  </si>
  <si>
    <t>Otros Ajustes</t>
  </si>
  <si>
    <t>Dividendos declarados a favor del contribuyente en el periodo fiscal</t>
  </si>
  <si>
    <t>Rentas liquidas por ventas de inversiones</t>
  </si>
  <si>
    <t>Mayor ingreso, ajustes por precios de transferencia</t>
  </si>
  <si>
    <t>Menor costo o deducción, ajustes por precios de transferencia</t>
  </si>
  <si>
    <t>Rentas líquidas por recuperación de deducciones de naturaleza permanente.</t>
  </si>
  <si>
    <t>Otros ajustes</t>
  </si>
  <si>
    <t>GANANCIA O PÉRDIDA CONTABLE  CON DIFERENCIAS PERMANENTES</t>
  </si>
  <si>
    <t>AJUSTES AL RESULTADO CONTABLE POR DIFERENCIAS TEMPORALES (que afectan el resultado)</t>
  </si>
  <si>
    <t>(+) Generaciones</t>
  </si>
  <si>
    <t>(-) Reversiones</t>
  </si>
  <si>
    <t>Pérdidas por deterioro del valor de los activos</t>
  </si>
  <si>
    <t>Otras pérdidas por deterioro</t>
  </si>
  <si>
    <t>Gastos por Depreciación que han excedido el límite máximo fiscal</t>
  </si>
  <si>
    <t>Gastos por amortización que han excedido el límite máximo fiscal</t>
  </si>
  <si>
    <t>Pérdidas por medición a Valor Razonable</t>
  </si>
  <si>
    <t>Otros instrumentos financieros, diferentes a títulos de renta fija, medidos al modelo del valor razonable</t>
  </si>
  <si>
    <t>Pérdida por diferencia en cambio</t>
  </si>
  <si>
    <t>Pérdidas esperadas en contratos de construcción y otros servicios (provisiones por contratos onerosos)</t>
  </si>
  <si>
    <t>Intereses implícitos (ventas o préstamos concedidos a terceros)</t>
  </si>
  <si>
    <t>Otras Provisiones asociadas a pasivos de monto o fecha inciertos</t>
  </si>
  <si>
    <t>Por beneficios a empleados</t>
  </si>
  <si>
    <t>Gastos por actualización de provisiones reconocidas a valor presente</t>
  </si>
  <si>
    <t>Costos por préstamos atribuibles a activos aptos para entidades que aplican la NIIF para PYMES</t>
  </si>
  <si>
    <t>Pasivos por ingresos diferidos producto de programas de fidelización de clientes que no han sido reversados contablemente pero que deben ser gravados fiscalmente</t>
  </si>
  <si>
    <t>Ajustes por contratos de concesión que incorporan las etapas de construcción, administración, operación y mantenimiento</t>
  </si>
  <si>
    <t>Gastos de establecimiento</t>
  </si>
  <si>
    <t>Gastos de investigación, desarrollo e innovación</t>
  </si>
  <si>
    <t>Por pagos basados en acciones</t>
  </si>
  <si>
    <t>En la explotación de minas, petróleo y gas</t>
  </si>
  <si>
    <t>Rentas con derecho a cobro (causadas) que no cumplieron criterios para ser contabilizadas como ingresos del período gravable</t>
  </si>
  <si>
    <t>Otras diferencias temporales deducibles</t>
  </si>
  <si>
    <t>Total diferencias temporales deducibles</t>
  </si>
  <si>
    <t>(-) Generaciones</t>
  </si>
  <si>
    <t>(+) Reversiones</t>
  </si>
  <si>
    <t>Gastos por depreciaciones de activos fijos no aceptadas fiscalmente de naturaleza temporaria</t>
  </si>
  <si>
    <t>Costos atribuidos en la fecha de transición a los nuevos marcos técnicos normativos contables</t>
  </si>
  <si>
    <t>Aplicación del modelo de revaluación</t>
  </si>
  <si>
    <t>Costos estimados de desmantelamiento</t>
  </si>
  <si>
    <t>Gastos por amortizaciones de activos intangibles no aceptadas fiscalmente de naturaleza temporaria</t>
  </si>
  <si>
    <t>Plusvalía (Good Will, fondo de comercio y crédito mercantil)</t>
  </si>
  <si>
    <t>Ganancias por la medición a valor razonable</t>
  </si>
  <si>
    <t>Otros instrumentos financieros, diferentes a títulos de renta fija medidos al valor razonable</t>
  </si>
  <si>
    <t>Ganancia por diferencia en cambio</t>
  </si>
  <si>
    <t>Ingresos provenientes por contraprestación variable</t>
  </si>
  <si>
    <t>Intereses implícitos (compras o préstamos obtenidos)</t>
  </si>
  <si>
    <t>Deducción especial del impuesto sobre las ventas</t>
  </si>
  <si>
    <t>Otras diferencias temporales imponibles (gravables)</t>
  </si>
  <si>
    <t>Total diferencias temporales imponibles</t>
  </si>
  <si>
    <t>Otras diferencias temporales</t>
  </si>
  <si>
    <t xml:space="preserve"> Generaciones</t>
  </si>
  <si>
    <t>Reversiones</t>
  </si>
  <si>
    <t>Deducible (+)</t>
  </si>
  <si>
    <t>Imponible (-)</t>
  </si>
  <si>
    <t>Imponible (+)</t>
  </si>
  <si>
    <t>Deducible (-)</t>
  </si>
  <si>
    <t>Mediciones de activos biológicos al valor razonable menos costos de venta</t>
  </si>
  <si>
    <t>Cambios en el valor razonable menos costos de venta</t>
  </si>
  <si>
    <t>Costos de producción atribuibles a la transformación biológica ó pérdidas causadas en caso de destrucción, daños, muerte y otros eventos</t>
  </si>
  <si>
    <t>Depreciación fiscal de animales productores</t>
  </si>
  <si>
    <t>Ajustes por títulos de renta fija (activos financieros) medidos al modelo del valor razonable</t>
  </si>
  <si>
    <t>Ajustes por valor razonable</t>
  </si>
  <si>
    <t>Ajuste por rendimientos financieros calculados de manera lineal para efectos fiscales</t>
  </si>
  <si>
    <t>Gastos por amortización fiscal acelerada</t>
  </si>
  <si>
    <t>Ajustes por operaciones de reporto o repo, simultáneas y de transferencia temporal de valores</t>
  </si>
  <si>
    <t xml:space="preserve">Contratos de arrendamientos </t>
  </si>
  <si>
    <t>Total otras diferencias temporales</t>
  </si>
  <si>
    <t>RENTA LÍQUIDA ORDINARIA DEL EJERCICIO (incluyendo dividendos)</t>
  </si>
  <si>
    <t>PÉRDIDA LÍQUIDA DEL EJERCICIO (incluyendo dividendos)</t>
  </si>
  <si>
    <t>AJUSTE PARA LIQUIDACIÓN</t>
  </si>
  <si>
    <t>ESAL (R.T.E)</t>
  </si>
  <si>
    <t>Valor inversiones realizadas en el periodo</t>
  </si>
  <si>
    <t>Valor Inversiones liquidadas en el período</t>
  </si>
  <si>
    <t>Rentas pasiva - ECE sin residencia fiscal en colombia</t>
  </si>
  <si>
    <t>Dividendos, retiros y repartos</t>
  </si>
  <si>
    <t>Intereses y rendimientos financieros</t>
  </si>
  <si>
    <t>Provenientes de activos intangibles</t>
  </si>
  <si>
    <t>Enanjeacion o cesion de derechos</t>
  </si>
  <si>
    <t>Enajenacion o arrendamiento de inmuebles</t>
  </si>
  <si>
    <t>Compra o venta de bienes corporales</t>
  </si>
  <si>
    <t>Deducciones</t>
  </si>
  <si>
    <t>RENTA LIQUIDA PASIVA</t>
  </si>
  <si>
    <t>RENTA LIQUIDA POR RECUPERACION DE DEDUCCIONES</t>
  </si>
  <si>
    <t xml:space="preserve">RENTA LIQUIDA ORDINARIA DEL EJERCICIO - EXCEDENTE NETO </t>
  </si>
  <si>
    <t xml:space="preserve">PERDIDA LIQUIDA DEL EJERCICIO </t>
  </si>
  <si>
    <t>De pérdidas fiscales</t>
  </si>
  <si>
    <t>Del exceso de renta presuntiva sobre renta ordinaria</t>
  </si>
  <si>
    <t xml:space="preserve">Renta líquida </t>
  </si>
  <si>
    <t>Renta presuntiva período gravable</t>
  </si>
  <si>
    <t>Patrimonio líquido del año o período gravable anterior</t>
  </si>
  <si>
    <t>Valor patrimonial neto</t>
  </si>
  <si>
    <t>Acciones y aportes poseídos en sociedades nacionales</t>
  </si>
  <si>
    <t>Bienes afectados por hechos constitutivos de fuerza mayor o caso fortuito</t>
  </si>
  <si>
    <t>Bienes vinculados a empresas en período improductivo</t>
  </si>
  <si>
    <t>Bienes destinados exclusivamente a actividades deportivas</t>
  </si>
  <si>
    <t>Bienes vinculados a empresas exclusivamente mineras</t>
  </si>
  <si>
    <t>Primeras 19.000 UVT de activos destinados al sector agropecuario</t>
  </si>
  <si>
    <t>Otras exclusiones</t>
  </si>
  <si>
    <t>Base de cálculo de la renta presuntiva</t>
  </si>
  <si>
    <t xml:space="preserve">Cálculo renta presuntiva </t>
  </si>
  <si>
    <t>Renta gravable generada por los activos excluidos</t>
  </si>
  <si>
    <t>Renta Exenta</t>
  </si>
  <si>
    <t>Rentas gravables (renta líquida)</t>
  </si>
  <si>
    <t>Pérdidas compensadas modificadas por Liquidación Oficial</t>
  </si>
  <si>
    <t>Pasivos inexistentes</t>
  </si>
  <si>
    <t>Omisión de activos</t>
  </si>
  <si>
    <t>Comparación patrimonial</t>
  </si>
  <si>
    <t>ESAL (R.T.E.)</t>
  </si>
  <si>
    <t>Excedentes no reinvertidos</t>
  </si>
  <si>
    <t>Asignaciones permanentes no ejecutadas</t>
  </si>
  <si>
    <t>Inversiones liquidadas y no reinvertidas</t>
  </si>
  <si>
    <t xml:space="preserve">Rentas líquidas gravables </t>
  </si>
  <si>
    <t>Impuesto sobre la renta líquida gravable</t>
  </si>
  <si>
    <t>Ganancias Ocasionales gravables</t>
  </si>
  <si>
    <t>Ingresos por ganancia ocasional en venta de activos fijos</t>
  </si>
  <si>
    <t>Otros ingresos por ganancia ocasional</t>
  </si>
  <si>
    <t>Total Ingresos por ganancias ocasionales</t>
  </si>
  <si>
    <t>Costos por ganancia ocasional en venta de activos fijos</t>
  </si>
  <si>
    <t>Otros costos por ganancias ocasionales</t>
  </si>
  <si>
    <t>Total costos por ganancias ocasionales</t>
  </si>
  <si>
    <t xml:space="preserve">Ganancias ocasionales no gravadas por la venta de acciones ECE </t>
  </si>
  <si>
    <t>Otras ganancias ocasionales no gravadas y exentas</t>
  </si>
  <si>
    <t>Rentas deudores régimen Ley  de 2006, Decreto 560 y 772 de 2020</t>
  </si>
  <si>
    <t>Utilización pérdidas fiscales acumuladas (Inc. 2, Art 15 Decreto 772 de 2020)</t>
  </si>
  <si>
    <t>Impuesto de ganancia ocasional</t>
  </si>
  <si>
    <t>Descuentos por impuestos pagados en el exterior por ganancias ocasionales</t>
  </si>
  <si>
    <t>Valor de la inversión obras por impuestos hasta del 50% del valor del impuesto a cargo (Modalidad de pago 1)</t>
  </si>
  <si>
    <t>Descuento efectivo inversion obras por impuestos (Modalidad de pago2)</t>
  </si>
  <si>
    <t>Anticipo renta liquidado año anterior</t>
  </si>
  <si>
    <t>Anticipo sobretasa liquidado año gravable anterior</t>
  </si>
  <si>
    <t>Total retenciones año gravable que declara</t>
  </si>
  <si>
    <t xml:space="preserve">Anticipo renta por el año gravable siguiente </t>
  </si>
  <si>
    <t>Anticipo sobretasa instituciones fiancieras año gravable anterior</t>
  </si>
  <si>
    <t>Sobretasa instituciones financiaras</t>
  </si>
  <si>
    <t>Crédito fiscal para inversiones en proyectos de investigación, desarrollo tecnológico e imnovacióon o vinculación de capital humano de alto nivel</t>
  </si>
  <si>
    <t>OTRO RESULTADO INTEGRAL (ORI)</t>
  </si>
  <si>
    <t>Ganancia</t>
  </si>
  <si>
    <t>Pérdida</t>
  </si>
  <si>
    <t>Efecto de conversion</t>
  </si>
  <si>
    <t>No se reclasifican al resultado</t>
  </si>
  <si>
    <t>Cambios en el superávit de revaluación</t>
  </si>
  <si>
    <t>Nuevas mediciones de los planes de beneficios definidos</t>
  </si>
  <si>
    <t>Inversiones en instrumentos de patrimonio</t>
  </si>
  <si>
    <t>Participación otro resultado integral de asociadas y negocios conjuntos contabilizados utilizando el método de la participación</t>
  </si>
  <si>
    <t>Instrumentos de cobertura que cubren inversiones en instrumentos de patrimonio</t>
  </si>
  <si>
    <t>Cambio valor razonable de pasivos financieros atribuible a cambios en el riesgo de crédito del pasivo</t>
  </si>
  <si>
    <t>Se reclasifican al resultado</t>
  </si>
  <si>
    <t>Diferencias de cambio por conversión</t>
  </si>
  <si>
    <t>Activos financieros disponibles para la venta</t>
  </si>
  <si>
    <t>Activos financieros medidos al valor razonable con cambios en el ORI</t>
  </si>
  <si>
    <t>Cobertura de flujos de efectivo</t>
  </si>
  <si>
    <t>Coberturas de inversiones netas en negocios en el extranjero</t>
  </si>
  <si>
    <t>Otras partidas que deban ser reconocidas en el ORI</t>
  </si>
  <si>
    <t>OTRO RESULTADO INTEGRAL ANTES DE IMPUESTOS</t>
  </si>
  <si>
    <t>RESULTADO INTEGRAL TOTAL DEL AÑO</t>
  </si>
  <si>
    <t>Gasto / ingreso impuesto de renta y complementario del período</t>
  </si>
  <si>
    <t>Impuesto corriente</t>
  </si>
  <si>
    <t>Sobre renta liquida / presuntiva del período</t>
  </si>
  <si>
    <t>Gastos por ajustes respecto a periodos anteriores</t>
  </si>
  <si>
    <t>Ingresos por ajustes respecto a periodos anteriore</t>
  </si>
  <si>
    <t>Impuestos asumidos del exterior - convenios o tratados</t>
  </si>
  <si>
    <t>Gasto por impuesto diferido</t>
  </si>
  <si>
    <t>Ingreso impuesto diferido</t>
  </si>
  <si>
    <t>Valor neto gasto por impuesto</t>
  </si>
  <si>
    <t>EFECTO DE CONVERSION</t>
  </si>
  <si>
    <t>Ingresos devengados (contables) por fidelización de clientes</t>
  </si>
  <si>
    <t>Ingresos fiscales por fidelización de clientes, sin devengo contable</t>
  </si>
  <si>
    <t>Retiros para consumo y publicidad, propaganda y promoción</t>
  </si>
  <si>
    <t>Dividendos decretados en el periodo gravable</t>
  </si>
  <si>
    <t>Dividendos cobrados en el periodo gravable</t>
  </si>
  <si>
    <t>Ingresos devengados de fideicomisos o encargos fiduciarios, calidad de fideicomitente o fiduciante</t>
  </si>
  <si>
    <t>Ingresos devengados de fideicomisos o encargos fiduciarios, calidad de beneficiario</t>
  </si>
  <si>
    <t>COSTOS Y GASTOS</t>
  </si>
  <si>
    <t>Costos y gastos devengados, asociados a ingresos por fidelización de clientes</t>
  </si>
  <si>
    <t>Bajas de inventarios (faltantes, caso fortuito o fuerza mayor), reconocidos como costo o gasto en el estado de resultados del ejercicio</t>
  </si>
  <si>
    <t>Costos indirectos de producción no distribuidos como costo del inventario, reconocidos como costo o gasto en el estado de resultados del ejercicio</t>
  </si>
  <si>
    <t>Monto descuentos obtenidos en el periodo en la compra de  inventarios</t>
  </si>
  <si>
    <t>Costos y gastos devengados de fideicomisos o encargos fiduciarios, calidad de fideicomitente o fiduciante</t>
  </si>
  <si>
    <t>Costos y gastos devengados de fideicomisos o encargos fiduciarios, calidad de beneficiario</t>
  </si>
  <si>
    <t>Costos y deducciones no procedentes - Actividad meritoria (Régimen Tributario Especial)</t>
  </si>
  <si>
    <t>Total costos y gastos de nómina</t>
  </si>
  <si>
    <t>Aportes del empleador a los seguros privados de pensiones y a los fondos de pensiones voluntarias</t>
  </si>
  <si>
    <t>Operaciones con vinculados económicos</t>
  </si>
  <si>
    <t>Compra de inventarios</t>
  </si>
  <si>
    <t>compra de activos fijos</t>
  </si>
  <si>
    <t>VARIACIÓN</t>
  </si>
  <si>
    <t>ESTADO DE SITUACION FINANCIERA - PATRIMONIO</t>
  </si>
  <si>
    <t>Activos</t>
  </si>
  <si>
    <t>Propiedades de inversion</t>
  </si>
  <si>
    <t>Activos biologicos</t>
  </si>
  <si>
    <t xml:space="preserve">Ganancias (pérdidas) acumuladas o retenidas por la adopción por primera </t>
  </si>
  <si>
    <t>Total patrimonio</t>
  </si>
  <si>
    <t>ESTADO DE RESULTADO INTEGRAL - IMPUESTO DE RENTA</t>
  </si>
  <si>
    <t>Devoluciones, rebajas y  descuentos</t>
  </si>
  <si>
    <t>Ganancias por inversiones en subdiarias, asociadas y/o negocios conjuntos</t>
  </si>
  <si>
    <t>Utilidad en la venta o enajenación de activos, bienes poseidos por menos de dos años</t>
  </si>
  <si>
    <t>Utilidad por venta o enajenación de activos, bienes poseidos por dos años o más (g.o)</t>
  </si>
  <si>
    <t xml:space="preserve">Ingresos no constitutivos de renta ni ganancia ocasional </t>
  </si>
  <si>
    <t>Materias primas, reventa de bienes terminados, y servicios</t>
  </si>
  <si>
    <t>Menor costo - ajuste precios de Transferencia</t>
  </si>
  <si>
    <t>Total costos</t>
  </si>
  <si>
    <t>Gastos</t>
  </si>
  <si>
    <t>De Administración</t>
  </si>
  <si>
    <t>De Distribución y ventas</t>
  </si>
  <si>
    <t>Total gastos de distribución y ventas</t>
  </si>
  <si>
    <t>Gastos Financieros</t>
  </si>
  <si>
    <t>Pérdidas por inversiones en subdiarias, asociadas y/o negocios conjuntos</t>
  </si>
  <si>
    <t>Menor gasto o deducción - ajuste precios de transferencia</t>
  </si>
  <si>
    <t>Total gastos</t>
  </si>
  <si>
    <t>RESULTADO DEL EJERCICIO</t>
  </si>
  <si>
    <t>Fila</t>
  </si>
  <si>
    <t>Concepto</t>
  </si>
  <si>
    <t>Base contable</t>
  </si>
  <si>
    <t xml:space="preserve">Base Fiscal 
</t>
  </si>
  <si>
    <t xml:space="preserve">Diferencia Temporaria 
</t>
  </si>
  <si>
    <t xml:space="preserve">Saldo impuesto diferido
a 31 -DIC vigencia actual  </t>
  </si>
  <si>
    <t>Saldo impuesto diferido 
a 31 -DIC vigencia  anterior</t>
  </si>
  <si>
    <t xml:space="preserve">Variación 
</t>
  </si>
  <si>
    <t xml:space="preserve">Tasa fiscal aplicada 
</t>
  </si>
  <si>
    <t>Activo (Diferencias temporarias deducibles)</t>
  </si>
  <si>
    <t>D E D U C I B L E S</t>
  </si>
  <si>
    <t>Inversiones e instrumentos derivados</t>
  </si>
  <si>
    <t>Pasivos financieros y cuentas por pagar</t>
  </si>
  <si>
    <t>Impuestos, gravámenes y tasas</t>
  </si>
  <si>
    <t>Beneficios a  Empleados</t>
  </si>
  <si>
    <t>Otros Pasivos Anticipos y avances recibidos</t>
  </si>
  <si>
    <t>Operaciones con títulos y derivados</t>
  </si>
  <si>
    <t>Perdidas fiscales y/o excesos de renta presuntiva</t>
  </si>
  <si>
    <t>Pasivo (Diferencias temporarias imponibles)</t>
  </si>
  <si>
    <t>I M P O N I B L E S</t>
  </si>
  <si>
    <r>
      <t xml:space="preserve">Utilidad o excedente del ejercicio en operaciones continuadas </t>
    </r>
    <r>
      <rPr>
        <b/>
        <sz val="10"/>
        <color indexed="30"/>
        <rFont val="Arial"/>
        <family val="2"/>
      </rPr>
      <t>(Digitable)</t>
    </r>
  </si>
  <si>
    <r>
      <t xml:space="preserve">Utilidad o excedente del ejercicio en operaciones discontinuadas </t>
    </r>
    <r>
      <rPr>
        <b/>
        <sz val="10"/>
        <color indexed="30"/>
        <rFont val="Arial"/>
        <family val="2"/>
      </rPr>
      <t>(Digitable)</t>
    </r>
  </si>
  <si>
    <r>
      <t xml:space="preserve">Pérdida o déficit del ejercicio en operaciones continuadas </t>
    </r>
    <r>
      <rPr>
        <b/>
        <sz val="10"/>
        <color indexed="30"/>
        <rFont val="Arial"/>
        <family val="2"/>
      </rPr>
      <t>(Digitable)</t>
    </r>
  </si>
  <si>
    <r>
      <t>Pérdida o déficit del ejercicio en operaciones discontinuadas</t>
    </r>
    <r>
      <rPr>
        <b/>
        <sz val="10"/>
        <color indexed="30"/>
        <rFont val="Arial"/>
        <family val="2"/>
      </rPr>
      <t xml:space="preserve"> (Digitable)</t>
    </r>
  </si>
  <si>
    <r>
      <rPr>
        <b/>
        <sz val="10"/>
        <color indexed="10"/>
        <rFont val="Arial"/>
        <family val="2"/>
      </rPr>
      <t>&lt;&lt;&lt;&lt;&lt;</t>
    </r>
    <r>
      <rPr>
        <b/>
        <sz val="10"/>
        <color indexed="8"/>
        <rFont val="Arial"/>
        <family val="2"/>
      </rPr>
      <t>CLASIFICACIÓN   DE   DIFERENCIAS</t>
    </r>
    <r>
      <rPr>
        <b/>
        <sz val="10"/>
        <color indexed="10"/>
        <rFont val="Arial"/>
        <family val="2"/>
      </rPr>
      <t>&gt;&gt;&gt;&gt;&gt;</t>
    </r>
  </si>
  <si>
    <r>
      <t xml:space="preserve">AJUSTES AL RESULTADO CONTABLE POR DIFERENCIAS </t>
    </r>
    <r>
      <rPr>
        <b/>
        <sz val="10"/>
        <color indexed="30"/>
        <rFont val="Arial"/>
        <family val="2"/>
      </rPr>
      <t>PERMANENTES</t>
    </r>
  </si>
  <si>
    <r>
      <t xml:space="preserve">Diferencias permanentes que </t>
    </r>
    <r>
      <rPr>
        <b/>
        <sz val="10"/>
        <color indexed="10"/>
        <rFont val="Arial"/>
        <family val="2"/>
      </rPr>
      <t>disminuyen</t>
    </r>
    <r>
      <rPr>
        <b/>
        <sz val="10"/>
        <rFont val="Arial"/>
        <family val="2"/>
      </rPr>
      <t xml:space="preserve"> la Renta Liquida</t>
    </r>
    <r>
      <rPr>
        <b/>
        <sz val="10"/>
        <color indexed="10"/>
        <rFont val="Arial"/>
        <family val="2"/>
      </rPr>
      <t xml:space="preserve"> (-)</t>
    </r>
  </si>
  <si>
    <r>
      <t>Diferencias permanentes que</t>
    </r>
    <r>
      <rPr>
        <b/>
        <sz val="10"/>
        <color indexed="30"/>
        <rFont val="Arial"/>
        <family val="2"/>
      </rPr>
      <t xml:space="preserve"> aumentan</t>
    </r>
    <r>
      <rPr>
        <b/>
        <sz val="10"/>
        <rFont val="Arial"/>
        <family val="2"/>
      </rPr>
      <t xml:space="preserve"> la Renta Liquida </t>
    </r>
    <r>
      <rPr>
        <b/>
        <sz val="10"/>
        <color indexed="30"/>
        <rFont val="Arial"/>
        <family val="2"/>
      </rPr>
      <t>(+)</t>
    </r>
  </si>
  <si>
    <r>
      <t xml:space="preserve">Diferencias temporales deducibles   </t>
    </r>
    <r>
      <rPr>
        <b/>
        <sz val="10"/>
        <color indexed="30"/>
        <rFont val="Arial"/>
        <family val="2"/>
      </rPr>
      <t xml:space="preserve"> (Generan activos por I. diferido)</t>
    </r>
  </si>
  <si>
    <r>
      <t>Diferencias temporales imponibles (gravables)</t>
    </r>
    <r>
      <rPr>
        <b/>
        <sz val="10"/>
        <color indexed="30"/>
        <rFont val="Arial"/>
        <family val="2"/>
      </rPr>
      <t xml:space="preserve">  (Generan pasivo por I. diferido)</t>
    </r>
  </si>
  <si>
    <t>Conceptos</t>
  </si>
  <si>
    <t>Valor contable</t>
  </si>
  <si>
    <t>Anual</t>
  </si>
  <si>
    <t>Santa Rosa de Viterbo</t>
  </si>
  <si>
    <t>Cta 511005 Gasto x honorario</t>
  </si>
  <si>
    <t>Cta 233597 CXP estimadas</t>
  </si>
  <si>
    <t>Cta 240802 Iva descontable</t>
  </si>
  <si>
    <t>Cta 236515 Honorarios</t>
  </si>
  <si>
    <t>Cta 220501 Cuentas por pagar</t>
  </si>
  <si>
    <t>Credito</t>
  </si>
  <si>
    <t>Venta de activos fijos</t>
  </si>
  <si>
    <t>Venta de un terreno</t>
  </si>
  <si>
    <t>Venta de un vehiculo</t>
  </si>
  <si>
    <t>Venta de una edificación</t>
  </si>
  <si>
    <t>Activos + de dos años</t>
  </si>
  <si>
    <t>Edificación</t>
  </si>
  <si>
    <t>Dep fiscal acumulada</t>
  </si>
  <si>
    <t>Vehiculo</t>
  </si>
  <si>
    <t>Avaluo catastral al 2019</t>
  </si>
  <si>
    <t>Costo hist</t>
  </si>
  <si>
    <t>Costos GO</t>
  </si>
  <si>
    <t>Utilidad fiscal</t>
  </si>
  <si>
    <t>Impuesto sobre la renta</t>
  </si>
  <si>
    <t>Ganancia ocasional</t>
  </si>
  <si>
    <t>Valor renta 2019</t>
  </si>
  <si>
    <t>Descuento tributario</t>
  </si>
  <si>
    <t>Resumen</t>
  </si>
  <si>
    <r>
      <rPr>
        <b/>
        <sz val="10"/>
        <color rgb="FFFF0000"/>
        <rFont val="Arial"/>
        <family val="2"/>
      </rPr>
      <t xml:space="preserve">Digite </t>
    </r>
    <r>
      <rPr>
        <b/>
        <sz val="10"/>
        <color theme="1"/>
        <rFont val="Arial"/>
        <family val="2"/>
      </rPr>
      <t xml:space="preserve">Diferencia Permanente 
</t>
    </r>
  </si>
  <si>
    <t>Ingresos por dividendos</t>
  </si>
  <si>
    <t>1- No emito factura, pero si causo un ingreso</t>
  </si>
  <si>
    <t>2- Emito factura, pero no es un ingreso (ing diferido, ing rec anticipado)</t>
  </si>
  <si>
    <t>3- Emito factura y causo el ingreso</t>
  </si>
  <si>
    <t>Cta 233597 CXP estimadas (260505)</t>
  </si>
  <si>
    <t>Costos GO (art 72 ET)</t>
  </si>
  <si>
    <t>Renta líquida por recuperación de deducciones</t>
  </si>
  <si>
    <t>Oporapa</t>
  </si>
  <si>
    <t>Cuando tomo el avaluo castral como costo, para declarar un activo</t>
  </si>
  <si>
    <t>Rentas Exentas</t>
  </si>
  <si>
    <t>LVG ASESORES SAS</t>
  </si>
  <si>
    <t>CARRERA 5 12 56 ESTE</t>
  </si>
  <si>
    <t>VALLEDUPAR</t>
  </si>
  <si>
    <t>AUTORRENTA ESPECIAL</t>
  </si>
  <si>
    <t>GASESOSAS EL KONDOR SAS</t>
  </si>
  <si>
    <t>AV LAS PALMNA 45</t>
  </si>
  <si>
    <t>MEDELLIN</t>
  </si>
  <si>
    <t>COMPRAS</t>
  </si>
  <si>
    <t>Permanente - no tendrá efecto fiscal futuro</t>
  </si>
  <si>
    <t>ILA &gt; BFA</t>
  </si>
  <si>
    <t xml:space="preserve">ILA &lt; BFA </t>
  </si>
  <si>
    <t>DTD</t>
  </si>
  <si>
    <t>ILP &gt; BFP</t>
  </si>
  <si>
    <t>ILP &lt; BFP</t>
  </si>
  <si>
    <t>Incremento (disminución) Patrimonial</t>
  </si>
  <si>
    <r>
      <t xml:space="preserve">MENOR VALOR FISCAL </t>
    </r>
    <r>
      <rPr>
        <b/>
        <sz val="10"/>
        <color indexed="9"/>
        <rFont val="Arial"/>
        <family val="2"/>
      </rPr>
      <t>(por reconocimiento, exenciones, limitaciones, etc.) (VAL3)</t>
    </r>
  </si>
  <si>
    <r>
      <t xml:space="preserve">MAYOR VALOR FISCAL </t>
    </r>
    <r>
      <rPr>
        <b/>
        <sz val="10"/>
        <color indexed="9"/>
        <rFont val="Arial"/>
        <family val="2"/>
      </rPr>
      <t>(por reconocimiento, recuperaciones, deducciones, etc.) (VAL 4)</t>
    </r>
  </si>
  <si>
    <t>Cta 111010</t>
  </si>
  <si>
    <t>Transacciones con socios</t>
  </si>
  <si>
    <t>Devengo -</t>
  </si>
  <si>
    <t>Transacción la reconozco cuando en NIF se debe reconocer</t>
  </si>
  <si>
    <t>Ingresos por servicios -  Grado de avance</t>
  </si>
  <si>
    <t>Costos incurridos</t>
  </si>
  <si>
    <t>Costos presupuestados</t>
  </si>
  <si>
    <t>Grado de avance</t>
  </si>
  <si>
    <t xml:space="preserve">Contrato </t>
  </si>
  <si>
    <t>Ingreso devengado</t>
  </si>
  <si>
    <t>Cta 41</t>
  </si>
  <si>
    <t>Cta 61</t>
  </si>
  <si>
    <t>Cta 1345</t>
  </si>
  <si>
    <t>Cta 14</t>
  </si>
  <si>
    <t>IVA</t>
  </si>
  <si>
    <t>Iva generado</t>
  </si>
  <si>
    <t>Iva descontable</t>
  </si>
  <si>
    <t>Menos: Retenciones en la fuente y autorretenciones</t>
  </si>
  <si>
    <t xml:space="preserve">Saldo final </t>
  </si>
  <si>
    <t>Al 31 de diciembre de 20x1</t>
  </si>
  <si>
    <t>Al 31 de diciembre de 20x2</t>
  </si>
  <si>
    <t>Al 31 de diciembre de 20x3</t>
  </si>
  <si>
    <t>Por el periodo terminado a diciembre 31 de 20x3 y comparado con 20x2</t>
  </si>
  <si>
    <t>20x3</t>
  </si>
  <si>
    <t>20x2</t>
  </si>
  <si>
    <t>20x3-20x2</t>
  </si>
  <si>
    <t>20x2-20x1</t>
  </si>
  <si>
    <t>Saldo A diciembre 31 de 20x2</t>
  </si>
  <si>
    <t>Saldo a enero 1 de 20x2</t>
  </si>
  <si>
    <t>Saldo A diciembre 31 de 20x3</t>
  </si>
  <si>
    <t>Año 20x3</t>
  </si>
  <si>
    <t>Año 20x2</t>
  </si>
  <si>
    <t>Al 31 de diciembre de</t>
  </si>
  <si>
    <t>Al 1 de enero de</t>
  </si>
  <si>
    <t>A Enero 1 de 20x2</t>
  </si>
  <si>
    <t>A diciembre 31 de 20x2</t>
  </si>
  <si>
    <t>A diciembre 31 de 20x3</t>
  </si>
  <si>
    <t>Datos al 1 de enero de 20x2</t>
  </si>
  <si>
    <t>Datos al 31 de diciembre de 20x2</t>
  </si>
  <si>
    <t>Datos al 31 de diciembre de 20x3</t>
  </si>
  <si>
    <t>Transacciones año 20x3</t>
  </si>
  <si>
    <t>Transacciones año 20x2</t>
  </si>
  <si>
    <t>Año 20x1</t>
  </si>
  <si>
    <t>Año 20x0</t>
  </si>
  <si>
    <t>Año 20x-1</t>
  </si>
  <si>
    <t>Año 20x4</t>
  </si>
  <si>
    <t>Año 20x5</t>
  </si>
  <si>
    <t>Enero de 20x-1</t>
  </si>
  <si>
    <t>30/03/20x3</t>
  </si>
  <si>
    <t>06/04/20x3</t>
  </si>
  <si>
    <t>02/04/20x4</t>
  </si>
  <si>
    <t>15/04/20x4</t>
  </si>
  <si>
    <t>Renta Año gravable 20x3</t>
  </si>
  <si>
    <t>Valor fiscal a dic 31 /20x3</t>
  </si>
  <si>
    <t>Finaliza en 20x4</t>
  </si>
  <si>
    <t>31/12/20x1</t>
  </si>
  <si>
    <t>31/12/20x0</t>
  </si>
  <si>
    <t>31/12/20x2</t>
  </si>
  <si>
    <t>31/12/20x3</t>
  </si>
  <si>
    <t>31/12/20x4</t>
  </si>
  <si>
    <t>31/12/20x5</t>
  </si>
  <si>
    <t>Valor del crédito $ 3.500 millones; el crédito, fue tomado en enero de 20x0, plazo seis años. Costos de la transacción (comisiones y gastos legales) - $ 125,000,000; Fiscalmente se considera como un gasto. Tasa pactada 12% EA</t>
  </si>
  <si>
    <t xml:space="preserve">En el año 20x2 se pago una demanda por </t>
  </si>
  <si>
    <t xml:space="preserve">En el año 20x3 se pago una demanda por </t>
  </si>
  <si>
    <t>05/08/20x0</t>
  </si>
  <si>
    <t>Saldo al corte</t>
  </si>
  <si>
    <t>Dolares americanos</t>
  </si>
  <si>
    <t>Saldo 13 de marzo de 2020 (consignación)</t>
  </si>
  <si>
    <t>Valor patrimonial del saldo en bancos</t>
  </si>
  <si>
    <t>Diferencia en cambio no realizada en el estado de resultados</t>
  </si>
  <si>
    <t>TRM Cierre</t>
  </si>
  <si>
    <t>Resultado por DC en 20x3</t>
  </si>
  <si>
    <t xml:space="preserve">Ingrso x DC - NIIF </t>
  </si>
  <si>
    <t>Al no moverse la cuenta bancaria, dicho ingreso, es una DC no realizada</t>
  </si>
  <si>
    <t>https://www.dian.gov.co/normatividad/Normatividad/Circular%20000003%20de%2021-04-2023.pdf</t>
  </si>
  <si>
    <t>Tasa año 2022</t>
  </si>
  <si>
    <t>Tasa año 2023</t>
  </si>
  <si>
    <t>decreto 848 de 2023</t>
  </si>
  <si>
    <t>decreto 728 de 2022</t>
  </si>
  <si>
    <t>Costo deducible</t>
  </si>
  <si>
    <t>Diferencia</t>
  </si>
  <si>
    <t>Dic de 2023</t>
  </si>
  <si>
    <t>Dic de 2022</t>
  </si>
  <si>
    <t>Dic de 2021</t>
  </si>
  <si>
    <t xml:space="preserve">Dividendos y/o participaciones no constitutivos de renta ni ganancia ocasional </t>
  </si>
  <si>
    <t>Estado de Situación Financiera</t>
  </si>
  <si>
    <t>Estado de Resultado Integral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</si>
</sst>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8" formatCode="&quot;$&quot;\ #,##0.00;[Red]\-&quot;$&quot;\ #,##0.00"/>
    <numFmt numFmtId="41" formatCode="_-* #,##0_-;\-* #,##0_-;_-* &quot;-&quot;_-;_-@_-"/>
    <numFmt numFmtId="43" formatCode="_-* #,##0.00_-;\-* #,##0.00_-;_-* &quot;-&quot;??_-;_-@_-"/>
    <numFmt numFmtId="164" formatCode="&quot;$&quot;#,##0;[Red]\-&quot;$&quot;#,##0"/>
    <numFmt numFmtId="165" formatCode="&quot;$&quot;#,##0.00;[Red]\-&quot;$&quot;#,##0.00"/>
    <numFmt numFmtId="166" formatCode="_-&quot;$&quot;* #,##0.00_-;\-&quot;$&quot;* #,##0.00_-;_-&quot;$&quot;* &quot;-&quot;??_-;_-@_-"/>
    <numFmt numFmtId="167" formatCode="_(* #,##0.00_);_(* \(#,##0.00\);_(* &quot;-&quot;??_);_(@_)"/>
    <numFmt numFmtId="168" formatCode="0.000%"/>
    <numFmt numFmtId="169" formatCode="0.0000%"/>
    <numFmt numFmtId="170" formatCode="_(* #,##0_);_(* \(#,##0\);_(* &quot;-&quot;??_);_(@_)"/>
    <numFmt numFmtId="171" formatCode="0.000000%"/>
    <numFmt numFmtId="172" formatCode="0.00000000%"/>
    <numFmt numFmtId="173" formatCode="_-* #,##0_-;\-* #,##0_-;_-* &quot;-&quot;??_-;_-@_-"/>
    <numFmt numFmtId="174" formatCode="_-* #,##0.00_-;\-* #,##0.00_-;_-* &quot;-&quot;_-;_-@_-"/>
    <numFmt numFmtId="175" formatCode="#,##0.000"/>
    <numFmt numFmtId="176" formatCode="\ #,##0.00;\(#,##0.00\)"/>
    <numFmt numFmtId="177" formatCode="\ #,##0;\(#,##0\)"/>
    <numFmt numFmtId="178" formatCode="_ * #,##0_ ;_ * \-#,##0_ ;_ * &quot;-&quot;??_ ;_ @_ "/>
    <numFmt numFmtId="179" formatCode="0.0%"/>
    <numFmt numFmtId="180" formatCode="0_ ;\-0\ "/>
    <numFmt numFmtId="181" formatCode="_-* #,##0\ _F_-;\-* #,##0\ _F_-;_-* &quot;-&quot;??\ _F_-;_-@_-"/>
    <numFmt numFmtId="182" formatCode="_-* #,##0\ _P_t_s_-;\-* #,##0\ _P_t_s_-;_-* &quot;-&quot;??\ _P_t_s_-;_-@_-"/>
    <numFmt numFmtId="183" formatCode="_(* #,##0.000_);_(* \(#,##0.000\);_(* &quot;-&quot;??_);_(@_)"/>
    <numFmt numFmtId="184" formatCode="_-* #,##0.000000_-;\-* #,##0.000000_-;_-* &quot;-&quot;??????_-;_-@_-"/>
    <numFmt numFmtId="185" formatCode="_(* #,##0.0_);_(* \(#,##0.0\);_(* &quot;-&quot;??_);_(@_)"/>
    <numFmt numFmtId="186" formatCode="_-* #,##0_-;\-* #,##0_-;_-* &quot;-&quot;?_-;_-@_-"/>
    <numFmt numFmtId="187" formatCode="0.00000%"/>
  </numFmts>
  <fonts count="92" x14ac:knownFonts="1">
    <font>
      <sz val="10"/>
      <name val="Arial"/>
    </font>
    <font>
      <sz val="11"/>
      <color theme="1"/>
      <name val="Calibri"/>
      <family val="2"/>
      <scheme val="minor"/>
    </font>
    <font>
      <sz val="10"/>
      <name val="Arial"/>
      <family val="2"/>
    </font>
    <font>
      <sz val="8"/>
      <name val="Arial"/>
      <family val="2"/>
    </font>
    <font>
      <u/>
      <sz val="10"/>
      <color indexed="12"/>
      <name val="Arial"/>
      <family val="2"/>
    </font>
    <font>
      <sz val="10"/>
      <name val="Arial"/>
      <family val="2"/>
    </font>
    <font>
      <sz val="8"/>
      <name val="Arial"/>
      <family val="2"/>
    </font>
    <font>
      <b/>
      <sz val="11"/>
      <name val="Arial"/>
      <family val="2"/>
    </font>
    <font>
      <sz val="11"/>
      <name val="Arial"/>
      <family val="2"/>
    </font>
    <font>
      <b/>
      <sz val="10"/>
      <name val="Arial"/>
      <family val="2"/>
    </font>
    <font>
      <b/>
      <sz val="12"/>
      <name val="Arial"/>
      <family val="2"/>
    </font>
    <font>
      <sz val="12"/>
      <name val="Arial"/>
      <family val="2"/>
    </font>
    <font>
      <sz val="9"/>
      <color indexed="81"/>
      <name val="Tahoma"/>
      <family val="2"/>
    </font>
    <font>
      <b/>
      <sz val="9"/>
      <color indexed="81"/>
      <name val="Tahoma"/>
      <family val="2"/>
    </font>
    <font>
      <sz val="10"/>
      <name val="Arial"/>
      <family val="2"/>
    </font>
    <font>
      <b/>
      <sz val="16"/>
      <color theme="0"/>
      <name val="Arial"/>
      <family val="2"/>
    </font>
    <font>
      <b/>
      <sz val="12"/>
      <color theme="0"/>
      <name val="Arial"/>
      <family val="2"/>
    </font>
    <font>
      <u/>
      <sz val="10"/>
      <color theme="1"/>
      <name val="Arial"/>
      <family val="2"/>
    </font>
    <font>
      <sz val="11"/>
      <color rgb="FFFF0000"/>
      <name val="Arial"/>
      <family val="2"/>
    </font>
    <font>
      <sz val="10"/>
      <color rgb="FFFF0000"/>
      <name val="Arial"/>
      <family val="2"/>
    </font>
    <font>
      <sz val="10"/>
      <color theme="1"/>
      <name val="Arial"/>
      <family val="2"/>
    </font>
    <font>
      <b/>
      <sz val="10"/>
      <color theme="1"/>
      <name val="Arial"/>
      <family val="2"/>
    </font>
    <font>
      <sz val="12"/>
      <color theme="1"/>
      <name val="Arial"/>
      <family val="2"/>
    </font>
    <font>
      <b/>
      <sz val="12"/>
      <color theme="1"/>
      <name val="Arial"/>
      <family val="2"/>
    </font>
    <font>
      <b/>
      <u/>
      <sz val="10"/>
      <color theme="1"/>
      <name val="Arial"/>
      <family val="2"/>
    </font>
    <font>
      <sz val="11"/>
      <color rgb="FF000000"/>
      <name val="Calibri"/>
      <family val="2"/>
    </font>
    <font>
      <u/>
      <sz val="11"/>
      <color theme="10"/>
      <name val="Calibri"/>
      <family val="2"/>
    </font>
    <font>
      <b/>
      <sz val="10"/>
      <color theme="0"/>
      <name val="Arial"/>
      <family val="2"/>
    </font>
    <font>
      <sz val="10"/>
      <color theme="0"/>
      <name val="Arial"/>
      <family val="2"/>
    </font>
    <font>
      <sz val="10"/>
      <color rgb="FF0070C0"/>
      <name val="Arial"/>
      <family val="2"/>
    </font>
    <font>
      <sz val="10"/>
      <color theme="0" tint="-0.34998626667073579"/>
      <name val="Arial"/>
      <family val="2"/>
    </font>
    <font>
      <sz val="9"/>
      <color rgb="FF000000"/>
      <name val="Arial"/>
      <family val="2"/>
    </font>
    <font>
      <sz val="8"/>
      <color theme="1"/>
      <name val="Tahoma"/>
      <family val="2"/>
    </font>
    <font>
      <sz val="8"/>
      <color rgb="FF000000"/>
      <name val="Calibri"/>
      <family val="2"/>
    </font>
    <font>
      <sz val="8"/>
      <color rgb="FFFF0000"/>
      <name val="Calibri"/>
      <family val="2"/>
    </font>
    <font>
      <u/>
      <sz val="9"/>
      <color theme="10"/>
      <name val="Arial"/>
      <family val="2"/>
    </font>
    <font>
      <sz val="24"/>
      <color rgb="FF000000"/>
      <name val="Arial"/>
      <family val="2"/>
    </font>
    <font>
      <b/>
      <sz val="9"/>
      <color rgb="FF000000"/>
      <name val="Arial"/>
      <family val="2"/>
    </font>
    <font>
      <b/>
      <sz val="16"/>
      <color rgb="FF00B050"/>
      <name val="Arial"/>
      <family val="2"/>
    </font>
    <font>
      <b/>
      <sz val="36"/>
      <color theme="1"/>
      <name val="Arial"/>
      <family val="2"/>
    </font>
    <font>
      <b/>
      <sz val="8"/>
      <color rgb="FF000000"/>
      <name val="Arial"/>
      <family val="2"/>
    </font>
    <font>
      <b/>
      <sz val="10"/>
      <color indexed="8"/>
      <name val="Arial"/>
      <family val="2"/>
    </font>
    <font>
      <sz val="8"/>
      <color theme="1" tint="0.14999847407452621"/>
      <name val="Arial"/>
      <family val="2"/>
    </font>
    <font>
      <sz val="9"/>
      <color theme="0" tint="-0.249977111117893"/>
      <name val="Arial"/>
      <family val="2"/>
    </font>
    <font>
      <sz val="16"/>
      <color rgb="FFFFC000"/>
      <name val="Arial"/>
      <family val="2"/>
    </font>
    <font>
      <sz val="14"/>
      <color theme="0" tint="-0.249977111117893"/>
      <name val="Arial"/>
      <family val="2"/>
    </font>
    <font>
      <sz val="9"/>
      <color theme="1"/>
      <name val="Arial"/>
      <family val="2"/>
    </font>
    <font>
      <sz val="6"/>
      <color rgb="FF000000"/>
      <name val="Arial"/>
      <family val="2"/>
    </font>
    <font>
      <sz val="8"/>
      <color rgb="FF000000"/>
      <name val="Arial"/>
      <family val="2"/>
    </font>
    <font>
      <sz val="10"/>
      <color rgb="FF000000"/>
      <name val="Arial"/>
      <family val="2"/>
    </font>
    <font>
      <sz val="7"/>
      <color rgb="FF000000"/>
      <name val="Arial"/>
      <family val="2"/>
    </font>
    <font>
      <b/>
      <sz val="10"/>
      <color rgb="FF000000"/>
      <name val="Arial"/>
      <family val="2"/>
    </font>
    <font>
      <sz val="11"/>
      <color rgb="FFFF0000"/>
      <name val="Calibri"/>
      <family val="2"/>
    </font>
    <font>
      <b/>
      <sz val="9"/>
      <color indexed="8"/>
      <name val="Arial"/>
      <family val="2"/>
    </font>
    <font>
      <sz val="9"/>
      <color indexed="8"/>
      <name val="Arial"/>
      <family val="2"/>
    </font>
    <font>
      <sz val="7.5"/>
      <color theme="1"/>
      <name val="Arial"/>
      <family val="2"/>
    </font>
    <font>
      <sz val="7.5"/>
      <color rgb="FF000000"/>
      <name val="Arial"/>
      <family val="2"/>
    </font>
    <font>
      <sz val="7"/>
      <color theme="1"/>
      <name val="Arial"/>
      <family val="2"/>
    </font>
    <font>
      <sz val="8.5"/>
      <color rgb="FF000000"/>
      <name val="Arial"/>
      <family val="2"/>
    </font>
    <font>
      <sz val="8.6"/>
      <color rgb="FF000000"/>
      <name val="Arial"/>
      <family val="2"/>
    </font>
    <font>
      <b/>
      <sz val="8.6"/>
      <color rgb="FF000000"/>
      <name val="Arial"/>
      <family val="2"/>
    </font>
    <font>
      <sz val="8"/>
      <color theme="0"/>
      <name val="Calibri"/>
      <family val="2"/>
    </font>
    <font>
      <b/>
      <sz val="7"/>
      <color rgb="FF000000"/>
      <name val="Arial"/>
      <family val="2"/>
    </font>
    <font>
      <sz val="7"/>
      <color indexed="8"/>
      <name val="Arial"/>
      <family val="2"/>
    </font>
    <font>
      <sz val="9"/>
      <name val="Arial"/>
      <family val="2"/>
    </font>
    <font>
      <sz val="8"/>
      <color theme="1"/>
      <name val="Arial"/>
      <family val="2"/>
    </font>
    <font>
      <sz val="8"/>
      <color theme="0"/>
      <name val="Arial"/>
      <family val="2"/>
    </font>
    <font>
      <sz val="11"/>
      <color theme="1"/>
      <name val="Calibri"/>
      <family val="2"/>
    </font>
    <font>
      <sz val="8"/>
      <color theme="1"/>
      <name val="Calibri"/>
      <family val="2"/>
    </font>
    <font>
      <sz val="10"/>
      <color theme="0" tint="-0.14999847407452621"/>
      <name val="Arial"/>
      <family val="2"/>
    </font>
    <font>
      <sz val="10"/>
      <color indexed="10"/>
      <name val="Arial"/>
      <family val="2"/>
    </font>
    <font>
      <sz val="10"/>
      <color indexed="9"/>
      <name val="Arial"/>
      <family val="2"/>
    </font>
    <font>
      <b/>
      <sz val="10"/>
      <color rgb="FFFF0000"/>
      <name val="Arial"/>
      <family val="2"/>
    </font>
    <font>
      <sz val="10"/>
      <color theme="2" tint="-0.749992370372631"/>
      <name val="Arial"/>
      <family val="2"/>
    </font>
    <font>
      <b/>
      <sz val="9"/>
      <name val="Arial"/>
      <family val="2"/>
    </font>
    <font>
      <b/>
      <sz val="8"/>
      <name val="Arial"/>
      <family val="2"/>
    </font>
    <font>
      <sz val="9"/>
      <color rgb="FFFF0000"/>
      <name val="Arial"/>
      <family val="2"/>
    </font>
    <font>
      <sz val="11"/>
      <name val="Tahoma"/>
      <family val="2"/>
    </font>
    <font>
      <sz val="9"/>
      <color theme="0"/>
      <name val="Arial"/>
      <family val="2"/>
    </font>
    <font>
      <sz val="10"/>
      <color rgb="FFFF0000"/>
      <name val="Tahoma"/>
      <family val="2"/>
    </font>
    <font>
      <sz val="11"/>
      <color rgb="FF000000"/>
      <name val="Arial"/>
      <family val="2"/>
    </font>
    <font>
      <u/>
      <sz val="11"/>
      <color rgb="FF000000"/>
      <name val="Arial"/>
      <family val="2"/>
    </font>
    <font>
      <sz val="11"/>
      <color theme="0"/>
      <name val="Arial"/>
      <family val="2"/>
    </font>
    <font>
      <b/>
      <sz val="10"/>
      <color indexed="9"/>
      <name val="Arial"/>
      <family val="2"/>
    </font>
    <font>
      <b/>
      <sz val="10"/>
      <color indexed="10"/>
      <name val="Arial"/>
      <family val="2"/>
    </font>
    <font>
      <sz val="10"/>
      <color indexed="8"/>
      <name val="Arial"/>
      <family val="2"/>
    </font>
    <font>
      <b/>
      <sz val="10"/>
      <color indexed="30"/>
      <name val="Arial"/>
      <family val="2"/>
    </font>
    <font>
      <sz val="10"/>
      <color indexed="13"/>
      <name val="Arial"/>
      <family val="2"/>
    </font>
    <font>
      <sz val="10"/>
      <color indexed="49"/>
      <name val="Arial"/>
      <family val="2"/>
    </font>
    <font>
      <b/>
      <sz val="10"/>
      <color indexed="57"/>
      <name val="Arial"/>
      <family val="2"/>
    </font>
    <font>
      <sz val="10"/>
      <color indexed="60"/>
      <name val="Arial"/>
      <family val="2"/>
    </font>
    <font>
      <b/>
      <sz val="11"/>
      <color theme="1"/>
      <name val="Arial"/>
      <family val="2"/>
    </font>
  </fonts>
  <fills count="51">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1"/>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FF0000"/>
        <bgColor indexed="64"/>
      </patternFill>
    </fill>
    <fill>
      <patternFill patternType="solid">
        <fgColor theme="6"/>
        <bgColor indexed="64"/>
      </patternFill>
    </fill>
    <fill>
      <patternFill patternType="solid">
        <fgColor theme="0"/>
        <bgColor indexed="64"/>
      </patternFill>
    </fill>
    <fill>
      <patternFill patternType="solid">
        <fgColor rgb="FF5B675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indexed="9"/>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indexed="65"/>
        <bgColor indexed="64"/>
      </patternFill>
    </fill>
    <fill>
      <patternFill patternType="solid">
        <fgColor rgb="FFF2F2F2"/>
        <bgColor indexed="64"/>
      </patternFill>
    </fill>
    <fill>
      <patternFill patternType="solid">
        <fgColor rgb="FFEF7E40"/>
        <bgColor indexed="64"/>
      </patternFill>
    </fill>
    <fill>
      <patternFill patternType="solid">
        <fgColor rgb="FF00B050"/>
        <bgColor indexed="64"/>
      </patternFill>
    </fill>
    <fill>
      <patternFill patternType="solid">
        <fgColor theme="8" tint="0.39997558519241921"/>
        <bgColor indexed="64"/>
      </patternFill>
    </fill>
    <fill>
      <patternFill patternType="solid">
        <fgColor rgb="FFC00000"/>
        <bgColor indexed="64"/>
      </patternFill>
    </fill>
    <fill>
      <patternFill patternType="solid">
        <fgColor rgb="FFE7742D"/>
        <bgColor indexed="64"/>
      </patternFill>
    </fill>
    <fill>
      <patternFill patternType="solid">
        <fgColor rgb="FFA6BE56"/>
        <bgColor indexed="64"/>
      </patternFill>
    </fill>
    <fill>
      <patternFill patternType="solid">
        <fgColor theme="2" tint="-0.249977111117893"/>
        <bgColor indexed="64"/>
      </patternFill>
    </fill>
    <fill>
      <patternFill patternType="solid">
        <fgColor rgb="FF002060"/>
        <bgColor indexed="64"/>
      </patternFill>
    </fill>
    <fill>
      <patternFill patternType="solid">
        <fgColor indexed="57"/>
        <bgColor indexed="64"/>
      </patternFill>
    </fill>
    <fill>
      <patternFill patternType="solid">
        <fgColor indexed="57"/>
        <bgColor indexed="57"/>
      </patternFill>
    </fill>
    <fill>
      <patternFill patternType="solid">
        <fgColor indexed="22"/>
        <bgColor indexed="22"/>
      </patternFill>
    </fill>
    <fill>
      <patternFill patternType="solid">
        <fgColor indexed="22"/>
        <bgColor indexed="64"/>
      </patternFill>
    </fill>
    <fill>
      <patternFill patternType="solid">
        <fgColor indexed="23"/>
        <bgColor indexed="64"/>
      </patternFill>
    </fill>
    <fill>
      <patternFill patternType="solid">
        <fgColor indexed="43"/>
        <bgColor indexed="64"/>
      </patternFill>
    </fill>
    <fill>
      <patternFill patternType="solid">
        <fgColor indexed="55"/>
        <bgColor indexed="64"/>
      </patternFill>
    </fill>
    <fill>
      <patternFill patternType="solid">
        <fgColor indexed="49"/>
        <bgColor indexed="64"/>
      </patternFill>
    </fill>
    <fill>
      <patternFill patternType="solid">
        <fgColor indexed="49"/>
        <bgColor indexed="49"/>
      </patternFill>
    </fill>
    <fill>
      <patternFill patternType="solid">
        <fgColor indexed="22"/>
        <bgColor indexed="17"/>
      </patternFill>
    </fill>
    <fill>
      <patternFill patternType="solid">
        <fgColor indexed="17"/>
        <bgColor indexed="17"/>
      </patternFill>
    </fill>
    <fill>
      <patternFill patternType="solid">
        <fgColor indexed="17"/>
        <bgColor indexed="64"/>
      </patternFill>
    </fill>
    <fill>
      <patternFill patternType="solid">
        <fgColor indexed="31"/>
        <bgColor indexed="64"/>
      </patternFill>
    </fill>
    <fill>
      <patternFill patternType="solid">
        <fgColor indexed="9"/>
        <bgColor indexed="17"/>
      </patternFill>
    </fill>
    <fill>
      <patternFill patternType="solid">
        <fgColor indexed="44"/>
        <bgColor indexed="64"/>
      </patternFill>
    </fill>
    <fill>
      <patternFill patternType="solid">
        <fgColor theme="8"/>
        <bgColor indexed="64"/>
      </patternFill>
    </fill>
    <fill>
      <patternFill patternType="solid">
        <fgColor theme="8"/>
        <bgColor rgb="FF00B050"/>
      </patternFill>
    </fill>
    <fill>
      <patternFill patternType="solid">
        <fgColor theme="6" tint="-0.499984740745262"/>
        <bgColor indexed="64"/>
      </patternFill>
    </fill>
    <fill>
      <patternFill patternType="solid">
        <fgColor rgb="FF00B0F0"/>
        <bgColor indexed="64"/>
      </patternFill>
    </fill>
  </fills>
  <borders count="9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style="thin">
        <color indexed="64"/>
      </left>
      <right style="thick">
        <color rgb="FF008B28"/>
      </right>
      <top style="thin">
        <color indexed="64"/>
      </top>
      <bottom style="thin">
        <color rgb="FF008B28"/>
      </bottom>
      <diagonal/>
    </border>
    <border>
      <left style="thick">
        <color rgb="FF008B28"/>
      </left>
      <right style="thick">
        <color rgb="FF008B28"/>
      </right>
      <top style="thin">
        <color indexed="64"/>
      </top>
      <bottom style="thin">
        <color rgb="FF008B28"/>
      </bottom>
      <diagonal/>
    </border>
    <border>
      <left style="thick">
        <color rgb="FF008B28"/>
      </left>
      <right/>
      <top style="thin">
        <color indexed="64"/>
      </top>
      <bottom style="thin">
        <color rgb="FF008B28"/>
      </bottom>
      <diagonal/>
    </border>
    <border>
      <left style="thick">
        <color rgb="FF008B28"/>
      </left>
      <right style="thin">
        <color indexed="64"/>
      </right>
      <top style="thin">
        <color indexed="64"/>
      </top>
      <bottom style="thin">
        <color rgb="FF008B28"/>
      </bottom>
      <diagonal/>
    </border>
    <border>
      <left style="thin">
        <color indexed="64"/>
      </left>
      <right style="thick">
        <color rgb="FF008B28"/>
      </right>
      <top style="thin">
        <color rgb="FF008B28"/>
      </top>
      <bottom style="thin">
        <color rgb="FF008B28"/>
      </bottom>
      <diagonal/>
    </border>
    <border>
      <left style="thick">
        <color rgb="FF008B28"/>
      </left>
      <right style="thick">
        <color rgb="FF008B28"/>
      </right>
      <top style="thin">
        <color rgb="FF008B28"/>
      </top>
      <bottom style="thin">
        <color rgb="FF008B28"/>
      </bottom>
      <diagonal/>
    </border>
    <border>
      <left style="thick">
        <color rgb="FF008B28"/>
      </left>
      <right/>
      <top style="thin">
        <color rgb="FF008B28"/>
      </top>
      <bottom style="thin">
        <color rgb="FF008B28"/>
      </bottom>
      <diagonal/>
    </border>
    <border>
      <left style="thick">
        <color rgb="FF008B28"/>
      </left>
      <right style="thin">
        <color indexed="64"/>
      </right>
      <top style="thin">
        <color rgb="FF008B28"/>
      </top>
      <bottom style="thin">
        <color rgb="FF008B28"/>
      </bottom>
      <diagonal/>
    </border>
    <border>
      <left style="thin">
        <color indexed="64"/>
      </left>
      <right style="thick">
        <color rgb="FF008B28"/>
      </right>
      <top style="thin">
        <color rgb="FF008B28"/>
      </top>
      <bottom style="thin">
        <color indexed="64"/>
      </bottom>
      <diagonal/>
    </border>
    <border>
      <left style="thick">
        <color rgb="FF008B28"/>
      </left>
      <right style="thick">
        <color rgb="FF008B28"/>
      </right>
      <top style="thin">
        <color rgb="FF008B28"/>
      </top>
      <bottom style="thin">
        <color indexed="64"/>
      </bottom>
      <diagonal/>
    </border>
    <border>
      <left style="thick">
        <color rgb="FF008B28"/>
      </left>
      <right/>
      <top style="thin">
        <color rgb="FF008B28"/>
      </top>
      <bottom style="thin">
        <color indexed="64"/>
      </bottom>
      <diagonal/>
    </border>
    <border>
      <left style="thick">
        <color rgb="FF008B28"/>
      </left>
      <right style="thin">
        <color indexed="64"/>
      </right>
      <top style="thin">
        <color rgb="FF008B28"/>
      </top>
      <bottom style="thin">
        <color indexed="64"/>
      </bottom>
      <diagonal/>
    </border>
    <border>
      <left style="thin">
        <color indexed="64"/>
      </left>
      <right style="thin">
        <color rgb="FF008B28"/>
      </right>
      <top style="thin">
        <color indexed="64"/>
      </top>
      <bottom/>
      <diagonal/>
    </border>
    <border>
      <left style="thin">
        <color rgb="FF008B28"/>
      </left>
      <right style="thin">
        <color rgb="FF008B28"/>
      </right>
      <top style="thin">
        <color indexed="64"/>
      </top>
      <bottom/>
      <diagonal/>
    </border>
    <border>
      <left style="thin">
        <color rgb="FF008B28"/>
      </left>
      <right/>
      <top style="thin">
        <color indexed="64"/>
      </top>
      <bottom/>
      <diagonal/>
    </border>
    <border>
      <left/>
      <right style="thin">
        <color rgb="FF008B28"/>
      </right>
      <top style="thin">
        <color indexed="64"/>
      </top>
      <bottom/>
      <diagonal/>
    </border>
    <border>
      <left style="thick">
        <color rgb="FF008B28"/>
      </left>
      <right/>
      <top/>
      <bottom/>
      <diagonal/>
    </border>
    <border>
      <left/>
      <right style="thin">
        <color rgb="FF008B28"/>
      </right>
      <top/>
      <bottom/>
      <diagonal/>
    </border>
    <border>
      <left style="thin">
        <color rgb="FF008B28"/>
      </left>
      <right style="thin">
        <color rgb="FF008B28"/>
      </right>
      <top/>
      <bottom/>
      <diagonal/>
    </border>
    <border>
      <left style="thin">
        <color rgb="FF008B28"/>
      </left>
      <right/>
      <top/>
      <bottom/>
      <diagonal/>
    </border>
    <border>
      <left/>
      <right style="thin">
        <color rgb="FF008B28"/>
      </right>
      <top/>
      <bottom style="thin">
        <color indexed="64"/>
      </bottom>
      <diagonal/>
    </border>
    <border>
      <left style="thin">
        <color rgb="FF008B28"/>
      </left>
      <right/>
      <top/>
      <bottom style="thin">
        <color indexed="64"/>
      </bottom>
      <diagonal/>
    </border>
    <border>
      <left/>
      <right/>
      <top/>
      <bottom style="thin">
        <color rgb="FF008B28"/>
      </bottom>
      <diagonal/>
    </border>
    <border>
      <left/>
      <right style="thin">
        <color rgb="FF008B28"/>
      </right>
      <top style="thin">
        <color rgb="FF008B28"/>
      </top>
      <bottom/>
      <diagonal/>
    </border>
    <border>
      <left style="thin">
        <color rgb="FF008B28"/>
      </left>
      <right style="thin">
        <color rgb="FF008B28"/>
      </right>
      <top style="thin">
        <color rgb="FF008B28"/>
      </top>
      <bottom/>
      <diagonal/>
    </border>
    <border>
      <left style="thin">
        <color rgb="FF008B28"/>
      </left>
      <right/>
      <top style="thin">
        <color rgb="FF008B28"/>
      </top>
      <bottom/>
      <diagonal/>
    </border>
    <border>
      <left style="thin">
        <color indexed="64"/>
      </left>
      <right style="thin">
        <color indexed="64"/>
      </right>
      <top style="thin">
        <color rgb="FF008B28"/>
      </top>
      <bottom/>
      <diagonal/>
    </border>
    <border>
      <left/>
      <right style="medium">
        <color rgb="FF00206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medium">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top style="medium">
        <color theme="0" tint="-0.34998626667073579"/>
      </top>
      <bottom style="medium">
        <color theme="0" tint="-0.34998626667073579"/>
      </bottom>
      <diagonal/>
    </border>
    <border>
      <left/>
      <right style="thin">
        <color theme="0" tint="-0.34998626667073579"/>
      </right>
      <top style="medium">
        <color theme="0" tint="-0.34998626667073579"/>
      </top>
      <bottom style="medium">
        <color theme="0" tint="-0.34998626667073579"/>
      </bottom>
      <diagonal/>
    </border>
    <border>
      <left style="thin">
        <color theme="0" tint="-0.34998626667073579"/>
      </left>
      <right style="medium">
        <color theme="0" tint="-0.34998626667073579"/>
      </right>
      <top style="medium">
        <color theme="0" tint="-0.34998626667073579"/>
      </top>
      <bottom style="medium">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top style="medium">
        <color theme="0" tint="-0.34998626667073579"/>
      </top>
      <bottom style="thin">
        <color theme="0" tint="-0.34998626667073579"/>
      </bottom>
      <diagonal/>
    </border>
    <border>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medium">
        <color theme="0" tint="-0.34998626667073579"/>
      </right>
      <top style="thin">
        <color theme="0" tint="-0.34998626667073579"/>
      </top>
      <bottom/>
      <diagonal/>
    </border>
    <border>
      <left style="medium">
        <color theme="0" tint="-0.34998626667073579"/>
      </left>
      <right style="thin">
        <color theme="0" tint="-0.34998626667073579"/>
      </right>
      <top style="thin">
        <color theme="0" tint="-0.34998626667073579"/>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left>
      <right style="thin">
        <color theme="1"/>
      </right>
      <top style="thin">
        <color theme="1"/>
      </top>
      <bottom style="thin">
        <color theme="1"/>
      </bottom>
      <diagonal/>
    </border>
    <border>
      <left style="thin">
        <color indexed="64"/>
      </left>
      <right style="thin">
        <color indexed="64"/>
      </right>
      <top/>
      <bottom style="thin">
        <color indexed="22"/>
      </bottom>
      <diagonal/>
    </border>
    <border>
      <left style="thin">
        <color indexed="64"/>
      </left>
      <right/>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theme="1"/>
      </left>
      <right style="thin">
        <color theme="8" tint="0.59999389629810485"/>
      </right>
      <top/>
      <bottom style="thin">
        <color theme="8" tint="0.59999389629810485"/>
      </bottom>
      <diagonal/>
    </border>
    <border>
      <left style="thin">
        <color theme="8" tint="0.59999389629810485"/>
      </left>
      <right style="thin">
        <color theme="8" tint="0.59999389629810485"/>
      </right>
      <top/>
      <bottom style="thin">
        <color theme="8" tint="0.59999389629810485"/>
      </bottom>
      <diagonal/>
    </border>
    <border>
      <left style="thin">
        <color theme="1"/>
      </left>
      <right style="thin">
        <color theme="8" tint="0.59999389629810485"/>
      </right>
      <top style="thin">
        <color theme="8" tint="0.59999389629810485"/>
      </top>
      <bottom style="thin">
        <color theme="8" tint="0.59999389629810485"/>
      </bottom>
      <diagonal/>
    </border>
    <border>
      <left style="thin">
        <color theme="8" tint="0.59999389629810485"/>
      </left>
      <right style="thin">
        <color theme="8" tint="0.59999389629810485"/>
      </right>
      <top style="thin">
        <color theme="8" tint="0.59999389629810485"/>
      </top>
      <bottom style="thin">
        <color theme="8" tint="0.59999389629810485"/>
      </bottom>
      <diagonal/>
    </border>
    <border>
      <left style="thin">
        <color theme="8" tint="0.59999389629810485"/>
      </left>
      <right style="thin">
        <color theme="8" tint="0.59999389629810485"/>
      </right>
      <top style="thin">
        <color theme="8" tint="0.59999389629810485"/>
      </top>
      <bottom/>
      <diagonal/>
    </border>
    <border>
      <left style="thin">
        <color theme="1"/>
      </left>
      <right style="thin">
        <color theme="8" tint="0.59999389629810485"/>
      </right>
      <top/>
      <bottom/>
      <diagonal/>
    </border>
    <border>
      <left style="thin">
        <color theme="1"/>
      </left>
      <right style="thin">
        <color theme="8" tint="0.59999389629810485"/>
      </right>
      <top style="thin">
        <color theme="1"/>
      </top>
      <bottom style="thin">
        <color theme="1"/>
      </bottom>
      <diagonal/>
    </border>
    <border>
      <left style="thin">
        <color theme="8" tint="0.59999389629810485"/>
      </left>
      <right style="thin">
        <color theme="8" tint="0.59999389629810485"/>
      </right>
      <top style="thin">
        <color theme="1"/>
      </top>
      <bottom style="thin">
        <color theme="1"/>
      </bottom>
      <diagonal/>
    </border>
    <border>
      <left style="thin">
        <color theme="1"/>
      </left>
      <right style="thin">
        <color theme="8" tint="0.59999389629810485"/>
      </right>
      <top style="thin">
        <color theme="1"/>
      </top>
      <bottom style="thin">
        <color theme="8" tint="0.59999389629810485"/>
      </bottom>
      <diagonal/>
    </border>
    <border>
      <left style="thin">
        <color theme="8" tint="0.59999389629810485"/>
      </left>
      <right style="thin">
        <color theme="8" tint="0.59999389629810485"/>
      </right>
      <top style="thin">
        <color theme="1"/>
      </top>
      <bottom style="thin">
        <color theme="8" tint="0.59999389629810485"/>
      </bottom>
      <diagonal/>
    </border>
    <border>
      <left style="thin">
        <color theme="1"/>
      </left>
      <right style="thin">
        <color theme="8" tint="0.59999389629810485"/>
      </right>
      <top style="thin">
        <color theme="8" tint="0.59999389629810485"/>
      </top>
      <bottom/>
      <diagonal/>
    </border>
    <border>
      <left style="thin">
        <color indexed="8"/>
      </left>
      <right style="thin">
        <color indexed="8"/>
      </right>
      <top style="thin">
        <color indexed="8"/>
      </top>
      <bottom/>
      <diagonal/>
    </border>
    <border>
      <left/>
      <right/>
      <top style="thin">
        <color indexed="8"/>
      </top>
      <bottom/>
      <diagonal/>
    </border>
    <border>
      <left style="thin">
        <color indexed="8"/>
      </left>
      <right style="thin">
        <color indexed="8"/>
      </right>
      <top/>
      <bottom/>
      <diagonal/>
    </border>
    <border>
      <left style="thin">
        <color indexed="8"/>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style="thin">
        <color indexed="8"/>
      </right>
      <top/>
      <bottom style="thin">
        <color indexed="8"/>
      </bottom>
      <diagonal/>
    </border>
    <border>
      <left style="thin">
        <color rgb="FF000000"/>
      </left>
      <right style="thin">
        <color rgb="FF000000"/>
      </right>
      <top style="thin">
        <color rgb="FF000000"/>
      </top>
      <bottom/>
      <diagonal/>
    </border>
    <border>
      <left/>
      <right style="thin">
        <color indexed="8"/>
      </right>
      <top style="thin">
        <color indexed="64"/>
      </top>
      <bottom style="thin">
        <color indexed="64"/>
      </bottom>
      <diagonal/>
    </border>
    <border>
      <left/>
      <right style="thin">
        <color indexed="8"/>
      </right>
      <top style="thin">
        <color indexed="64"/>
      </top>
      <bottom/>
      <diagonal/>
    </border>
    <border>
      <left/>
      <right style="thin">
        <color indexed="8"/>
      </right>
      <top style="thin">
        <color indexed="8"/>
      </top>
      <bottom/>
      <diagonal/>
    </border>
    <border>
      <left style="thin">
        <color indexed="8"/>
      </left>
      <right/>
      <top style="thin">
        <color indexed="8"/>
      </top>
      <bottom style="thin">
        <color indexed="8"/>
      </bottom>
      <diagonal/>
    </border>
  </borders>
  <cellStyleXfs count="23">
    <xf numFmtId="0" fontId="0" fillId="0" borderId="0"/>
    <xf numFmtId="0" fontId="4" fillId="0" borderId="0" applyNumberFormat="0" applyFill="0" applyBorder="0" applyAlignment="0" applyProtection="0">
      <alignment vertical="top"/>
      <protection locked="0"/>
    </xf>
    <xf numFmtId="43"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 fillId="0" borderId="0"/>
    <xf numFmtId="41" fontId="1" fillId="0" borderId="0" applyFont="0" applyFill="0" applyBorder="0" applyAlignment="0" applyProtection="0"/>
    <xf numFmtId="0" fontId="25" fillId="0" borderId="0"/>
    <xf numFmtId="9" fontId="1" fillId="0" borderId="0" applyFont="0" applyFill="0" applyBorder="0" applyAlignment="0" applyProtection="0"/>
    <xf numFmtId="43" fontId="1" fillId="0" borderId="0" applyFont="0" applyFill="0" applyBorder="0" applyAlignment="0" applyProtection="0"/>
    <xf numFmtId="0" fontId="26" fillId="0" borderId="0" applyNumberFormat="0" applyFill="0" applyBorder="0" applyAlignment="0" applyProtection="0"/>
    <xf numFmtId="167" fontId="25" fillId="0" borderId="0" applyFont="0" applyFill="0" applyBorder="0" applyAlignment="0" applyProtection="0"/>
    <xf numFmtId="0" fontId="25" fillId="0" borderId="0"/>
    <xf numFmtId="0" fontId="26" fillId="0" borderId="0" applyNumberFormat="0" applyFill="0" applyBorder="0" applyAlignment="0" applyProtection="0"/>
    <xf numFmtId="43" fontId="32" fillId="0" borderId="0" applyFont="0" applyFill="0" applyBorder="0" applyAlignment="0" applyProtection="0"/>
    <xf numFmtId="167" fontId="2" fillId="0" borderId="0" applyFont="0" applyFill="0" applyBorder="0" applyAlignment="0" applyProtection="0"/>
    <xf numFmtId="0" fontId="25" fillId="0" borderId="0"/>
  </cellStyleXfs>
  <cellXfs count="1664">
    <xf numFmtId="0" fontId="0" fillId="0" borderId="0" xfId="0"/>
    <xf numFmtId="43" fontId="8" fillId="0" borderId="0" xfId="2" applyFont="1"/>
    <xf numFmtId="43" fontId="8" fillId="0" borderId="1" xfId="2" applyFont="1" applyBorder="1"/>
    <xf numFmtId="43" fontId="7" fillId="0" borderId="1" xfId="2" applyFont="1" applyBorder="1"/>
    <xf numFmtId="43" fontId="7" fillId="2" borderId="1" xfId="2" applyFont="1" applyFill="1" applyBorder="1"/>
    <xf numFmtId="43" fontId="7" fillId="0" borderId="0" xfId="2" applyFont="1"/>
    <xf numFmtId="43" fontId="9" fillId="0" borderId="0" xfId="2" applyFont="1"/>
    <xf numFmtId="14" fontId="8" fillId="0" borderId="1" xfId="2" applyNumberFormat="1" applyFont="1" applyBorder="1"/>
    <xf numFmtId="0" fontId="8" fillId="4" borderId="0" xfId="0" applyFont="1" applyFill="1"/>
    <xf numFmtId="0" fontId="15" fillId="4" borderId="0" xfId="0" applyFont="1" applyFill="1"/>
    <xf numFmtId="0" fontId="16" fillId="4" borderId="0" xfId="0" applyFont="1" applyFill="1" applyAlignment="1">
      <alignment wrapText="1"/>
    </xf>
    <xf numFmtId="43" fontId="7" fillId="3" borderId="1" xfId="2" applyFont="1" applyFill="1" applyBorder="1"/>
    <xf numFmtId="43" fontId="9" fillId="3" borderId="0" xfId="2" applyFont="1" applyFill="1"/>
    <xf numFmtId="43" fontId="8" fillId="2" borderId="0" xfId="2" applyFont="1" applyFill="1"/>
    <xf numFmtId="0" fontId="8" fillId="2" borderId="0" xfId="0" applyFont="1" applyFill="1"/>
    <xf numFmtId="0" fontId="9" fillId="0" borderId="0" xfId="0" applyFont="1"/>
    <xf numFmtId="43" fontId="7" fillId="3" borderId="1" xfId="2" applyFont="1" applyFill="1" applyBorder="1" applyAlignment="1">
      <alignment wrapText="1"/>
    </xf>
    <xf numFmtId="0" fontId="7" fillId="0" borderId="0" xfId="7" applyFont="1"/>
    <xf numFmtId="0" fontId="8" fillId="0" borderId="0" xfId="7" applyFont="1"/>
    <xf numFmtId="43" fontId="8" fillId="0" borderId="0" xfId="5" applyFont="1"/>
    <xf numFmtId="0" fontId="8" fillId="0" borderId="1" xfId="7" applyFont="1" applyBorder="1"/>
    <xf numFmtId="41" fontId="8" fillId="0" borderId="0" xfId="3" applyFont="1"/>
    <xf numFmtId="0" fontId="7" fillId="0" borderId="1" xfId="7" applyFont="1" applyBorder="1"/>
    <xf numFmtId="43" fontId="9" fillId="6" borderId="1" xfId="2" applyFont="1" applyFill="1" applyBorder="1"/>
    <xf numFmtId="0" fontId="20" fillId="0" borderId="0" xfId="0" applyFont="1"/>
    <xf numFmtId="0" fontId="9" fillId="3" borderId="1" xfId="0" applyFont="1" applyFill="1" applyBorder="1"/>
    <xf numFmtId="0" fontId="9" fillId="3" borderId="1" xfId="0" applyFont="1" applyFill="1" applyBorder="1" applyAlignment="1">
      <alignment horizontal="left"/>
    </xf>
    <xf numFmtId="171" fontId="9" fillId="0" borderId="0" xfId="8" applyNumberFormat="1" applyFont="1"/>
    <xf numFmtId="3" fontId="8" fillId="0" borderId="0" xfId="7" applyNumberFormat="1" applyFont="1"/>
    <xf numFmtId="43" fontId="9" fillId="2" borderId="0" xfId="2" applyFont="1" applyFill="1"/>
    <xf numFmtId="0" fontId="5" fillId="0" borderId="0" xfId="7"/>
    <xf numFmtId="173" fontId="9" fillId="0" borderId="0" xfId="5" applyNumberFormat="1" applyFont="1" applyAlignment="1">
      <alignment horizontal="center"/>
    </xf>
    <xf numFmtId="0" fontId="9" fillId="0" borderId="9" xfId="5" applyNumberFormat="1" applyFont="1" applyBorder="1" applyAlignment="1">
      <alignment horizontal="center"/>
    </xf>
    <xf numFmtId="0" fontId="9" fillId="0" borderId="0" xfId="7" applyFont="1"/>
    <xf numFmtId="173" fontId="5" fillId="0" borderId="0" xfId="5" applyNumberFormat="1"/>
    <xf numFmtId="43" fontId="11" fillId="0" borderId="0" xfId="5" applyFont="1"/>
    <xf numFmtId="43" fontId="10" fillId="0" borderId="0" xfId="5" applyFont="1" applyAlignment="1">
      <alignment horizontal="center" wrapText="1"/>
    </xf>
    <xf numFmtId="173" fontId="11" fillId="0" borderId="0" xfId="5" applyNumberFormat="1" applyFont="1" applyAlignment="1">
      <alignment horizontal="center" wrapText="1"/>
    </xf>
    <xf numFmtId="173" fontId="11" fillId="0" borderId="0" xfId="5" applyNumberFormat="1" applyFont="1"/>
    <xf numFmtId="0" fontId="11" fillId="0" borderId="0" xfId="7" applyFont="1" applyAlignment="1">
      <alignment wrapText="1"/>
    </xf>
    <xf numFmtId="0" fontId="10" fillId="0" borderId="0" xfId="7" applyFont="1" applyAlignment="1">
      <alignment wrapText="1"/>
    </xf>
    <xf numFmtId="0" fontId="10" fillId="0" borderId="0" xfId="7" applyFont="1"/>
    <xf numFmtId="43" fontId="10" fillId="0" borderId="0" xfId="5" applyFont="1"/>
    <xf numFmtId="0" fontId="11" fillId="0" borderId="0" xfId="7" applyFont="1"/>
    <xf numFmtId="43" fontId="10" fillId="2" borderId="0" xfId="5" applyFont="1" applyFill="1"/>
    <xf numFmtId="43" fontId="22" fillId="0" borderId="0" xfId="5" applyFont="1"/>
    <xf numFmtId="0" fontId="23" fillId="0" borderId="9" xfId="5" applyNumberFormat="1" applyFont="1" applyBorder="1" applyAlignment="1">
      <alignment horizontal="center"/>
    </xf>
    <xf numFmtId="173" fontId="22" fillId="0" borderId="0" xfId="5" applyNumberFormat="1" applyFont="1" applyAlignment="1">
      <alignment horizontal="center" wrapText="1"/>
    </xf>
    <xf numFmtId="43" fontId="10" fillId="0" borderId="0" xfId="6" applyFont="1"/>
    <xf numFmtId="173" fontId="23" fillId="0" borderId="0" xfId="5" applyNumberFormat="1" applyFont="1" applyAlignment="1">
      <alignment horizontal="center" wrapText="1"/>
    </xf>
    <xf numFmtId="173" fontId="22" fillId="0" borderId="0" xfId="5" applyNumberFormat="1" applyFont="1"/>
    <xf numFmtId="0" fontId="21" fillId="0" borderId="0" xfId="7" applyFont="1"/>
    <xf numFmtId="0" fontId="20" fillId="0" borderId="0" xfId="7" applyFont="1"/>
    <xf numFmtId="0" fontId="21" fillId="0" borderId="9" xfId="7" applyFont="1" applyBorder="1" applyAlignment="1">
      <alignment horizontal="center"/>
    </xf>
    <xf numFmtId="3" fontId="20" fillId="0" borderId="0" xfId="7" applyNumberFormat="1" applyFont="1"/>
    <xf numFmtId="0" fontId="20" fillId="0" borderId="9" xfId="7" applyFont="1" applyBorder="1"/>
    <xf numFmtId="0" fontId="9" fillId="0" borderId="0" xfId="7" applyFont="1" applyAlignment="1">
      <alignment wrapText="1"/>
    </xf>
    <xf numFmtId="3" fontId="21" fillId="0" borderId="0" xfId="7" applyNumberFormat="1" applyFont="1"/>
    <xf numFmtId="3" fontId="20" fillId="0" borderId="9" xfId="7" applyNumberFormat="1" applyFont="1" applyBorder="1"/>
    <xf numFmtId="173" fontId="20" fillId="0" borderId="0" xfId="5" applyNumberFormat="1" applyFont="1"/>
    <xf numFmtId="173" fontId="20" fillId="0" borderId="9" xfId="5" applyNumberFormat="1" applyFont="1" applyBorder="1"/>
    <xf numFmtId="173" fontId="21" fillId="0" borderId="0" xfId="7" applyNumberFormat="1" applyFont="1"/>
    <xf numFmtId="3" fontId="20" fillId="2" borderId="0" xfId="7" applyNumberFormat="1" applyFont="1" applyFill="1"/>
    <xf numFmtId="0" fontId="20" fillId="2" borderId="0" xfId="7" applyFont="1" applyFill="1"/>
    <xf numFmtId="0" fontId="21" fillId="0" borderId="0" xfId="7" applyFont="1" applyAlignment="1">
      <alignment wrapText="1"/>
    </xf>
    <xf numFmtId="0" fontId="20" fillId="0" borderId="0" xfId="7" applyFont="1" applyAlignment="1">
      <alignment wrapText="1"/>
    </xf>
    <xf numFmtId="173" fontId="21" fillId="0" borderId="0" xfId="5" applyNumberFormat="1" applyFont="1"/>
    <xf numFmtId="0" fontId="24" fillId="0" borderId="0" xfId="7" applyFont="1" applyAlignment="1">
      <alignment horizontal="center" wrapText="1"/>
    </xf>
    <xf numFmtId="0" fontId="24" fillId="0" borderId="0" xfId="7" applyFont="1" applyAlignment="1">
      <alignment horizontal="center"/>
    </xf>
    <xf numFmtId="0" fontId="21" fillId="0" borderId="0" xfId="7" applyFont="1" applyAlignment="1">
      <alignment horizontal="center" wrapText="1"/>
    </xf>
    <xf numFmtId="0" fontId="5" fillId="0" borderId="0" xfId="7" applyAlignment="1">
      <alignment wrapText="1"/>
    </xf>
    <xf numFmtId="0" fontId="20" fillId="0" borderId="4" xfId="7" applyFont="1" applyBorder="1"/>
    <xf numFmtId="0" fontId="20" fillId="0" borderId="10" xfId="7" applyFont="1" applyBorder="1"/>
    <xf numFmtId="0" fontId="24" fillId="0" borderId="9" xfId="7" applyFont="1" applyBorder="1" applyAlignment="1">
      <alignment horizontal="center"/>
    </xf>
    <xf numFmtId="0" fontId="20" fillId="0" borderId="0" xfId="7" applyFont="1" applyAlignment="1">
      <alignment vertical="center" wrapText="1"/>
    </xf>
    <xf numFmtId="37" fontId="5" fillId="0" borderId="0" xfId="7" applyNumberFormat="1" applyAlignment="1">
      <alignment horizontal="right"/>
    </xf>
    <xf numFmtId="37" fontId="5" fillId="0" borderId="9" xfId="7" applyNumberFormat="1" applyBorder="1" applyAlignment="1">
      <alignment horizontal="right"/>
    </xf>
    <xf numFmtId="37" fontId="9" fillId="0" borderId="0" xfId="7" applyNumberFormat="1" applyFont="1" applyAlignment="1">
      <alignment horizontal="right"/>
    </xf>
    <xf numFmtId="41" fontId="20" fillId="0" borderId="0" xfId="3" applyFont="1"/>
    <xf numFmtId="41" fontId="21" fillId="0" borderId="0" xfId="3" applyFont="1"/>
    <xf numFmtId="41" fontId="21" fillId="0" borderId="0" xfId="7" applyNumberFormat="1" applyFont="1"/>
    <xf numFmtId="3" fontId="21" fillId="0" borderId="4" xfId="7" applyNumberFormat="1" applyFont="1" applyBorder="1"/>
    <xf numFmtId="3" fontId="21" fillId="2" borderId="0" xfId="7" applyNumberFormat="1" applyFont="1" applyFill="1"/>
    <xf numFmtId="43" fontId="9" fillId="0" borderId="0" xfId="5" applyFont="1" applyAlignment="1">
      <alignment horizontal="center"/>
    </xf>
    <xf numFmtId="43" fontId="5" fillId="0" borderId="0" xfId="5"/>
    <xf numFmtId="41" fontId="5" fillId="0" borderId="0" xfId="4"/>
    <xf numFmtId="43" fontId="9" fillId="0" borderId="0" xfId="5" applyFont="1" applyAlignment="1">
      <alignment horizontal="left"/>
    </xf>
    <xf numFmtId="0" fontId="9" fillId="0" borderId="0" xfId="5" applyNumberFormat="1" applyFont="1" applyAlignment="1">
      <alignment horizontal="center"/>
    </xf>
    <xf numFmtId="43" fontId="5" fillId="0" borderId="0" xfId="5" quotePrefix="1"/>
    <xf numFmtId="41" fontId="9" fillId="0" borderId="0" xfId="4" applyFont="1"/>
    <xf numFmtId="173" fontId="11" fillId="0" borderId="1" xfId="5" applyNumberFormat="1" applyFont="1" applyBorder="1"/>
    <xf numFmtId="173" fontId="10" fillId="0" borderId="1" xfId="5" applyNumberFormat="1" applyFont="1" applyBorder="1"/>
    <xf numFmtId="41" fontId="20" fillId="2" borderId="0" xfId="3" applyFont="1" applyFill="1"/>
    <xf numFmtId="0" fontId="10" fillId="0" borderId="9" xfId="7" applyFont="1" applyBorder="1" applyAlignment="1">
      <alignment horizontal="center" wrapText="1"/>
    </xf>
    <xf numFmtId="173" fontId="10" fillId="0" borderId="0" xfId="5" applyNumberFormat="1" applyFont="1"/>
    <xf numFmtId="0" fontId="2" fillId="0" borderId="0" xfId="7" applyFont="1"/>
    <xf numFmtId="10" fontId="22" fillId="0" borderId="0" xfId="8" applyNumberFormat="1" applyFont="1"/>
    <xf numFmtId="17" fontId="2" fillId="0" borderId="1" xfId="0" applyNumberFormat="1" applyFont="1" applyBorder="1"/>
    <xf numFmtId="176" fontId="21" fillId="0" borderId="0" xfId="3" applyNumberFormat="1" applyFont="1"/>
    <xf numFmtId="176" fontId="9" fillId="3" borderId="1" xfId="3" applyNumberFormat="1" applyFont="1" applyFill="1" applyBorder="1" applyAlignment="1">
      <alignment horizontal="center"/>
    </xf>
    <xf numFmtId="176" fontId="9" fillId="3" borderId="1" xfId="3" applyNumberFormat="1" applyFont="1" applyFill="1" applyBorder="1"/>
    <xf numFmtId="176" fontId="9" fillId="0" borderId="0" xfId="3" applyNumberFormat="1" applyFont="1" applyAlignment="1">
      <alignment horizontal="center"/>
    </xf>
    <xf numFmtId="176" fontId="9" fillId="0" borderId="0" xfId="3" applyNumberFormat="1" applyFont="1"/>
    <xf numFmtId="176" fontId="17" fillId="0" borderId="0" xfId="1" applyNumberFormat="1" applyFont="1" applyAlignment="1" applyProtection="1"/>
    <xf numFmtId="176" fontId="7" fillId="0" borderId="1" xfId="7" applyNumberFormat="1" applyFont="1" applyBorder="1" applyAlignment="1">
      <alignment horizontal="center"/>
    </xf>
    <xf numFmtId="176" fontId="8" fillId="0" borderId="0" xfId="7" applyNumberFormat="1" applyFont="1"/>
    <xf numFmtId="176" fontId="9" fillId="0" borderId="1" xfId="2" applyNumberFormat="1" applyFont="1" applyBorder="1"/>
    <xf numFmtId="176" fontId="9" fillId="0" borderId="0" xfId="2" applyNumberFormat="1" applyFont="1"/>
    <xf numFmtId="176" fontId="7" fillId="0" borderId="1" xfId="7" applyNumberFormat="1" applyFont="1" applyBorder="1"/>
    <xf numFmtId="176" fontId="5" fillId="0" borderId="0" xfId="5" applyNumberFormat="1" applyAlignment="1">
      <alignment horizontal="center" wrapText="1"/>
    </xf>
    <xf numFmtId="176" fontId="5" fillId="0" borderId="0" xfId="7" applyNumberFormat="1"/>
    <xf numFmtId="176" fontId="5" fillId="0" borderId="0" xfId="5" applyNumberFormat="1" applyAlignment="1">
      <alignment horizontal="right" wrapText="1"/>
    </xf>
    <xf numFmtId="176" fontId="2" fillId="0" borderId="0" xfId="7" applyNumberFormat="1" applyFont="1"/>
    <xf numFmtId="176" fontId="5" fillId="0" borderId="9" xfId="5" applyNumberFormat="1" applyBorder="1" applyAlignment="1">
      <alignment horizontal="right" wrapText="1"/>
    </xf>
    <xf numFmtId="176" fontId="9" fillId="0" borderId="0" xfId="5" applyNumberFormat="1" applyFont="1" applyAlignment="1">
      <alignment horizontal="right" wrapText="1"/>
    </xf>
    <xf numFmtId="176" fontId="9" fillId="0" borderId="10" xfId="5" applyNumberFormat="1" applyFont="1" applyBorder="1" applyAlignment="1">
      <alignment horizontal="right" wrapText="1"/>
    </xf>
    <xf numFmtId="176" fontId="5" fillId="0" borderId="0" xfId="5" applyNumberFormat="1"/>
    <xf numFmtId="176" fontId="5" fillId="0" borderId="0" xfId="5" applyNumberFormat="1" applyAlignment="1">
      <alignment wrapText="1"/>
    </xf>
    <xf numFmtId="176" fontId="9" fillId="0" borderId="0" xfId="5" applyNumberFormat="1" applyFont="1"/>
    <xf numFmtId="43" fontId="9" fillId="0" borderId="0" xfId="5" applyFont="1" applyFill="1" applyAlignment="1">
      <alignment horizontal="center"/>
    </xf>
    <xf numFmtId="43" fontId="5" fillId="0" borderId="0" xfId="5" applyFill="1"/>
    <xf numFmtId="176" fontId="17" fillId="0" borderId="0" xfId="1" applyNumberFormat="1" applyFont="1" applyFill="1" applyAlignment="1" applyProtection="1"/>
    <xf numFmtId="0" fontId="19" fillId="0" borderId="0" xfId="0" applyFont="1"/>
    <xf numFmtId="43" fontId="9" fillId="0" borderId="0" xfId="5" applyFont="1" applyFill="1" applyAlignment="1">
      <alignment horizontal="left"/>
    </xf>
    <xf numFmtId="176" fontId="10" fillId="0" borderId="0" xfId="7" applyNumberFormat="1" applyFont="1" applyAlignment="1">
      <alignment horizontal="right" wrapText="1"/>
    </xf>
    <xf numFmtId="176" fontId="10" fillId="0" borderId="0" xfId="5" applyNumberFormat="1" applyFont="1" applyAlignment="1">
      <alignment horizontal="right" wrapText="1"/>
    </xf>
    <xf numFmtId="176" fontId="11" fillId="0" borderId="0" xfId="5" applyNumberFormat="1" applyFont="1" applyAlignment="1">
      <alignment horizontal="right" wrapText="1"/>
    </xf>
    <xf numFmtId="176" fontId="11" fillId="0" borderId="9" xfId="5" applyNumberFormat="1" applyFont="1" applyBorder="1" applyAlignment="1">
      <alignment horizontal="right" wrapText="1"/>
    </xf>
    <xf numFmtId="176" fontId="11" fillId="0" borderId="9" xfId="5" applyNumberFormat="1" applyFont="1" applyBorder="1" applyAlignment="1">
      <alignment horizontal="right"/>
    </xf>
    <xf numFmtId="176" fontId="11" fillId="0" borderId="0" xfId="5" applyNumberFormat="1" applyFont="1" applyAlignment="1">
      <alignment horizontal="right"/>
    </xf>
    <xf numFmtId="176" fontId="10" fillId="0" borderId="10" xfId="7" applyNumberFormat="1" applyFont="1" applyBorder="1" applyAlignment="1">
      <alignment horizontal="right" wrapText="1"/>
    </xf>
    <xf numFmtId="176" fontId="11" fillId="0" borderId="0" xfId="5" applyNumberFormat="1" applyFont="1"/>
    <xf numFmtId="176" fontId="11" fillId="2" borderId="0" xfId="5" applyNumberFormat="1" applyFont="1" applyFill="1"/>
    <xf numFmtId="176" fontId="11" fillId="0" borderId="1" xfId="5" applyNumberFormat="1" applyFont="1" applyBorder="1"/>
    <xf numFmtId="176" fontId="10" fillId="0" borderId="1" xfId="5" applyNumberFormat="1" applyFont="1" applyBorder="1" applyAlignment="1">
      <alignment horizontal="center"/>
    </xf>
    <xf numFmtId="176" fontId="11" fillId="0" borderId="1" xfId="3" applyNumberFormat="1" applyFont="1" applyBorder="1"/>
    <xf numFmtId="176" fontId="10" fillId="0" borderId="1" xfId="5" applyNumberFormat="1" applyFont="1" applyBorder="1"/>
    <xf numFmtId="176" fontId="11" fillId="0" borderId="0" xfId="3" applyNumberFormat="1" applyFont="1"/>
    <xf numFmtId="176" fontId="10" fillId="0" borderId="0" xfId="5" applyNumberFormat="1" applyFont="1"/>
    <xf numFmtId="176" fontId="22" fillId="0" borderId="0" xfId="5" applyNumberFormat="1" applyFont="1" applyAlignment="1">
      <alignment horizontal="center" wrapText="1"/>
    </xf>
    <xf numFmtId="176" fontId="22" fillId="0" borderId="9" xfId="5" applyNumberFormat="1" applyFont="1" applyBorder="1" applyAlignment="1">
      <alignment horizontal="center" wrapText="1"/>
    </xf>
    <xf numFmtId="176" fontId="23" fillId="0" borderId="0" xfId="5" applyNumberFormat="1" applyFont="1" applyAlignment="1">
      <alignment horizontal="center" wrapText="1"/>
    </xf>
    <xf numFmtId="176" fontId="11" fillId="0" borderId="0" xfId="5" applyNumberFormat="1" applyFont="1" applyAlignment="1">
      <alignment wrapText="1"/>
    </xf>
    <xf numFmtId="176" fontId="11" fillId="0" borderId="9" xfId="5" applyNumberFormat="1" applyFont="1" applyBorder="1" applyAlignment="1">
      <alignment wrapText="1"/>
    </xf>
    <xf numFmtId="176" fontId="11" fillId="2" borderId="0" xfId="5" applyNumberFormat="1" applyFont="1" applyFill="1" applyAlignment="1">
      <alignment wrapText="1"/>
    </xf>
    <xf numFmtId="176" fontId="10" fillId="0" borderId="9" xfId="5" applyNumberFormat="1" applyFont="1" applyBorder="1"/>
    <xf numFmtId="176" fontId="22" fillId="0" borderId="10" xfId="5" applyNumberFormat="1" applyFont="1" applyBorder="1"/>
    <xf numFmtId="176" fontId="22" fillId="0" borderId="0" xfId="5" applyNumberFormat="1" applyFont="1"/>
    <xf numFmtId="176" fontId="22" fillId="2" borderId="0" xfId="5" applyNumberFormat="1" applyFont="1" applyFill="1"/>
    <xf numFmtId="176" fontId="23" fillId="0" borderId="0" xfId="5" applyNumberFormat="1" applyFont="1" applyAlignment="1">
      <alignment horizontal="center"/>
    </xf>
    <xf numFmtId="176" fontId="22" fillId="0" borderId="0" xfId="5" applyNumberFormat="1" applyFont="1" applyAlignment="1">
      <alignment horizontal="right" wrapText="1"/>
    </xf>
    <xf numFmtId="176" fontId="22" fillId="0" borderId="9" xfId="5" applyNumberFormat="1" applyFont="1" applyBorder="1" applyAlignment="1">
      <alignment horizontal="right" wrapText="1"/>
    </xf>
    <xf numFmtId="176" fontId="23" fillId="0" borderId="0" xfId="5" applyNumberFormat="1" applyFont="1" applyAlignment="1">
      <alignment horizontal="right" wrapText="1"/>
    </xf>
    <xf numFmtId="176" fontId="11" fillId="2" borderId="0" xfId="5" applyNumberFormat="1" applyFont="1" applyFill="1" applyAlignment="1">
      <alignment horizontal="right" wrapText="1"/>
    </xf>
    <xf numFmtId="0" fontId="2" fillId="0" borderId="1" xfId="1" applyFont="1" applyBorder="1" applyAlignment="1" applyProtection="1">
      <alignment wrapText="1"/>
    </xf>
    <xf numFmtId="49" fontId="2" fillId="0" borderId="1" xfId="2" applyNumberFormat="1" applyFont="1" applyBorder="1"/>
    <xf numFmtId="43" fontId="2" fillId="0" borderId="1" xfId="2" applyFont="1" applyBorder="1"/>
    <xf numFmtId="0" fontId="8" fillId="2" borderId="0" xfId="7" applyFont="1" applyFill="1"/>
    <xf numFmtId="176" fontId="8" fillId="2" borderId="0" xfId="7" applyNumberFormat="1" applyFont="1" applyFill="1"/>
    <xf numFmtId="0" fontId="7" fillId="0" borderId="1" xfId="7" applyFont="1" applyBorder="1" applyAlignment="1">
      <alignment wrapText="1"/>
    </xf>
    <xf numFmtId="176" fontId="8" fillId="2" borderId="1" xfId="7" applyNumberFormat="1" applyFont="1" applyFill="1" applyBorder="1"/>
    <xf numFmtId="176" fontId="8" fillId="0" borderId="1" xfId="7" applyNumberFormat="1" applyFont="1" applyBorder="1"/>
    <xf numFmtId="41" fontId="8" fillId="0" borderId="0" xfId="7" applyNumberFormat="1" applyFont="1"/>
    <xf numFmtId="41" fontId="7" fillId="0" borderId="0" xfId="7" applyNumberFormat="1" applyFont="1"/>
    <xf numFmtId="170" fontId="8" fillId="0" borderId="0" xfId="5" applyNumberFormat="1" applyFont="1" applyAlignment="1">
      <alignment wrapText="1"/>
    </xf>
    <xf numFmtId="0" fontId="8" fillId="0" borderId="1" xfId="7" applyFont="1" applyBorder="1" applyAlignment="1">
      <alignment wrapText="1"/>
    </xf>
    <xf numFmtId="170" fontId="7" fillId="0" borderId="0" xfId="5" applyNumberFormat="1" applyFont="1" applyAlignment="1">
      <alignment wrapText="1"/>
    </xf>
    <xf numFmtId="164" fontId="7" fillId="0" borderId="0" xfId="5" applyNumberFormat="1" applyFont="1"/>
    <xf numFmtId="3" fontId="18" fillId="0" borderId="0" xfId="7" applyNumberFormat="1" applyFont="1"/>
    <xf numFmtId="0" fontId="7" fillId="0" borderId="0" xfId="7" applyFont="1" applyAlignment="1">
      <alignment wrapText="1"/>
    </xf>
    <xf numFmtId="177" fontId="2" fillId="0" borderId="9" xfId="5" applyNumberFormat="1" applyFont="1" applyBorder="1" applyAlignment="1"/>
    <xf numFmtId="177" fontId="2" fillId="0" borderId="0" xfId="5" applyNumberFormat="1" applyFont="1" applyBorder="1" applyAlignment="1"/>
    <xf numFmtId="41" fontId="20" fillId="0" borderId="9" xfId="3" applyFont="1" applyBorder="1"/>
    <xf numFmtId="0" fontId="21" fillId="0" borderId="9" xfId="7" applyFont="1" applyBorder="1" applyAlignment="1">
      <alignment horizontal="center" wrapText="1"/>
    </xf>
    <xf numFmtId="0" fontId="9" fillId="0" borderId="9" xfId="5" applyNumberFormat="1" applyFont="1" applyFill="1" applyBorder="1" applyAlignment="1">
      <alignment horizontal="center"/>
    </xf>
    <xf numFmtId="176" fontId="5" fillId="0" borderId="0" xfId="5" applyNumberFormat="1" applyFill="1" applyAlignment="1">
      <alignment horizontal="center"/>
    </xf>
    <xf numFmtId="176" fontId="5" fillId="0" borderId="0" xfId="5" applyNumberFormat="1" applyFill="1" applyAlignment="1">
      <alignment horizontal="right" wrapText="1"/>
    </xf>
    <xf numFmtId="0" fontId="14" fillId="0" borderId="0" xfId="7" applyFont="1"/>
    <xf numFmtId="41" fontId="5" fillId="0" borderId="0" xfId="3" applyFont="1" applyFill="1"/>
    <xf numFmtId="176" fontId="5" fillId="0" borderId="9" xfId="5" applyNumberFormat="1" applyFill="1" applyBorder="1" applyAlignment="1">
      <alignment horizontal="right" wrapText="1"/>
    </xf>
    <xf numFmtId="4" fontId="5" fillId="0" borderId="0" xfId="7" applyNumberFormat="1"/>
    <xf numFmtId="176" fontId="9" fillId="0" borderId="0" xfId="5" applyNumberFormat="1" applyFont="1" applyFill="1" applyAlignment="1">
      <alignment horizontal="right" wrapText="1"/>
    </xf>
    <xf numFmtId="4" fontId="2" fillId="0" borderId="0" xfId="7" applyNumberFormat="1" applyFont="1"/>
    <xf numFmtId="176" fontId="9" fillId="0" borderId="10" xfId="5" applyNumberFormat="1" applyFont="1" applyFill="1" applyBorder="1" applyAlignment="1">
      <alignment horizontal="right" wrapText="1"/>
    </xf>
    <xf numFmtId="176" fontId="5" fillId="0" borderId="0" xfId="5" applyNumberFormat="1" applyFill="1"/>
    <xf numFmtId="176" fontId="9" fillId="0" borderId="0" xfId="5" applyNumberFormat="1" applyFont="1" applyFill="1"/>
    <xf numFmtId="173" fontId="5" fillId="0" borderId="0" xfId="5" applyNumberFormat="1" applyFill="1"/>
    <xf numFmtId="0" fontId="27" fillId="4" borderId="0" xfId="0" applyFont="1" applyFill="1" applyAlignment="1">
      <alignment wrapText="1"/>
    </xf>
    <xf numFmtId="0" fontId="27" fillId="4" borderId="0" xfId="0" applyFont="1" applyFill="1"/>
    <xf numFmtId="0" fontId="2" fillId="4" borderId="0" xfId="0" applyFont="1" applyFill="1"/>
    <xf numFmtId="0" fontId="2" fillId="0" borderId="0" xfId="0" applyFont="1"/>
    <xf numFmtId="0" fontId="9" fillId="2" borderId="0" xfId="0" applyFont="1" applyFill="1"/>
    <xf numFmtId="0" fontId="2" fillId="2" borderId="0" xfId="0" applyFont="1" applyFill="1"/>
    <xf numFmtId="43" fontId="2" fillId="2" borderId="0" xfId="2" applyFont="1" applyFill="1"/>
    <xf numFmtId="0" fontId="2" fillId="3" borderId="1" xfId="0" applyFont="1" applyFill="1" applyBorder="1"/>
    <xf numFmtId="0" fontId="2" fillId="0" borderId="1" xfId="0" applyFont="1" applyBorder="1"/>
    <xf numFmtId="3" fontId="2" fillId="0" borderId="1" xfId="2" applyNumberFormat="1" applyFont="1" applyBorder="1"/>
    <xf numFmtId="3" fontId="2" fillId="0" borderId="0" xfId="0" applyNumberFormat="1" applyFont="1"/>
    <xf numFmtId="0" fontId="2" fillId="4" borderId="0" xfId="7" applyFont="1" applyFill="1"/>
    <xf numFmtId="0" fontId="9" fillId="4" borderId="0" xfId="7" applyFont="1" applyFill="1" applyAlignment="1">
      <alignment wrapText="1"/>
    </xf>
    <xf numFmtId="176" fontId="27" fillId="4" borderId="0" xfId="7" applyNumberFormat="1" applyFont="1" applyFill="1" applyAlignment="1">
      <alignment wrapText="1"/>
    </xf>
    <xf numFmtId="176" fontId="21" fillId="0" borderId="0" xfId="7" applyNumberFormat="1" applyFont="1"/>
    <xf numFmtId="176" fontId="20" fillId="0" borderId="0" xfId="7" applyNumberFormat="1" applyFont="1"/>
    <xf numFmtId="0" fontId="9" fillId="3" borderId="1" xfId="7" applyFont="1" applyFill="1" applyBorder="1"/>
    <xf numFmtId="0" fontId="9" fillId="0" borderId="1" xfId="7" applyFont="1" applyBorder="1"/>
    <xf numFmtId="176" fontId="9" fillId="0" borderId="1" xfId="7" applyNumberFormat="1" applyFont="1" applyBorder="1" applyAlignment="1">
      <alignment horizontal="center"/>
    </xf>
    <xf numFmtId="176" fontId="9" fillId="0" borderId="1" xfId="7" applyNumberFormat="1" applyFont="1" applyBorder="1" applyAlignment="1">
      <alignment horizontal="center" wrapText="1"/>
    </xf>
    <xf numFmtId="176" fontId="2" fillId="0" borderId="0" xfId="5" applyNumberFormat="1" applyFont="1"/>
    <xf numFmtId="0" fontId="2" fillId="0" borderId="1" xfId="7" applyFont="1" applyBorder="1"/>
    <xf numFmtId="176" fontId="2" fillId="0" borderId="1" xfId="5" applyNumberFormat="1" applyFont="1" applyBorder="1"/>
    <xf numFmtId="0" fontId="9" fillId="3" borderId="1" xfId="7" applyFont="1" applyFill="1" applyBorder="1" applyAlignment="1">
      <alignment horizontal="left"/>
    </xf>
    <xf numFmtId="176" fontId="9" fillId="3" borderId="1" xfId="5" applyNumberFormat="1" applyFont="1" applyFill="1" applyBorder="1"/>
    <xf numFmtId="176" fontId="9" fillId="0" borderId="1" xfId="5" applyNumberFormat="1" applyFont="1" applyBorder="1"/>
    <xf numFmtId="176" fontId="9" fillId="0" borderId="0" xfId="7" applyNumberFormat="1" applyFont="1" applyAlignment="1">
      <alignment horizontal="center"/>
    </xf>
    <xf numFmtId="176" fontId="2" fillId="3" borderId="1" xfId="5" applyNumberFormat="1" applyFont="1" applyFill="1" applyBorder="1"/>
    <xf numFmtId="176" fontId="9" fillId="3" borderId="1" xfId="7" applyNumberFormat="1" applyFont="1" applyFill="1" applyBorder="1" applyAlignment="1">
      <alignment horizontal="center"/>
    </xf>
    <xf numFmtId="176" fontId="2" fillId="3" borderId="1" xfId="7" applyNumberFormat="1" applyFont="1" applyFill="1" applyBorder="1"/>
    <xf numFmtId="43" fontId="2" fillId="0" borderId="0" xfId="7" applyNumberFormat="1" applyFont="1"/>
    <xf numFmtId="176" fontId="2" fillId="5" borderId="0" xfId="5" applyNumberFormat="1" applyFont="1" applyFill="1"/>
    <xf numFmtId="0" fontId="9" fillId="3" borderId="0" xfId="7" applyFont="1" applyFill="1"/>
    <xf numFmtId="176" fontId="9" fillId="3" borderId="0" xfId="5" applyNumberFormat="1" applyFont="1" applyFill="1"/>
    <xf numFmtId="0" fontId="9" fillId="6" borderId="1" xfId="7" applyFont="1" applyFill="1" applyBorder="1"/>
    <xf numFmtId="176" fontId="2" fillId="6" borderId="1" xfId="5" applyNumberFormat="1" applyFont="1" applyFill="1" applyBorder="1"/>
    <xf numFmtId="176" fontId="9" fillId="6" borderId="1" xfId="7" applyNumberFormat="1" applyFont="1" applyFill="1" applyBorder="1"/>
    <xf numFmtId="176" fontId="9" fillId="0" borderId="1" xfId="7" applyNumberFormat="1" applyFont="1" applyBorder="1"/>
    <xf numFmtId="49" fontId="27" fillId="4" borderId="0" xfId="0" applyNumberFormat="1" applyFont="1" applyFill="1"/>
    <xf numFmtId="176" fontId="27" fillId="4" borderId="0" xfId="0" applyNumberFormat="1" applyFont="1" applyFill="1" applyAlignment="1">
      <alignment wrapText="1"/>
    </xf>
    <xf numFmtId="49" fontId="2" fillId="0" borderId="0" xfId="2" applyNumberFormat="1" applyFont="1"/>
    <xf numFmtId="176" fontId="2" fillId="3" borderId="0" xfId="2" applyNumberFormat="1" applyFont="1" applyFill="1"/>
    <xf numFmtId="43" fontId="2" fillId="0" borderId="0" xfId="2" applyFont="1"/>
    <xf numFmtId="176" fontId="2" fillId="0" borderId="0" xfId="2" applyNumberFormat="1" applyFont="1"/>
    <xf numFmtId="49" fontId="2" fillId="6" borderId="1" xfId="2" applyNumberFormat="1" applyFont="1" applyFill="1" applyBorder="1"/>
    <xf numFmtId="176" fontId="2" fillId="6" borderId="1" xfId="2" applyNumberFormat="1" applyFont="1" applyFill="1" applyBorder="1"/>
    <xf numFmtId="176" fontId="2" fillId="0" borderId="1" xfId="2" applyNumberFormat="1" applyFont="1" applyBorder="1"/>
    <xf numFmtId="49" fontId="2" fillId="2" borderId="0" xfId="2" applyNumberFormat="1" applyFont="1" applyFill="1"/>
    <xf numFmtId="176" fontId="2" fillId="2" borderId="0" xfId="2" applyNumberFormat="1" applyFont="1" applyFill="1"/>
    <xf numFmtId="0" fontId="9" fillId="4" borderId="0" xfId="0" applyFont="1" applyFill="1" applyAlignment="1">
      <alignment wrapText="1"/>
    </xf>
    <xf numFmtId="176" fontId="27" fillId="4" borderId="0" xfId="3" applyNumberFormat="1" applyFont="1" applyFill="1" applyAlignment="1">
      <alignment wrapText="1"/>
    </xf>
    <xf numFmtId="176" fontId="2" fillId="0" borderId="0" xfId="3" applyNumberFormat="1" applyFont="1"/>
    <xf numFmtId="176" fontId="2" fillId="0" borderId="1" xfId="3" applyNumberFormat="1" applyFont="1" applyBorder="1"/>
    <xf numFmtId="41" fontId="2" fillId="0" borderId="0" xfId="3" applyFont="1"/>
    <xf numFmtId="168" fontId="2" fillId="0" borderId="0" xfId="8" applyNumberFormat="1" applyFont="1"/>
    <xf numFmtId="43" fontId="2" fillId="0" borderId="0" xfId="0" applyNumberFormat="1" applyFont="1"/>
    <xf numFmtId="175" fontId="2" fillId="2" borderId="0" xfId="0" applyNumberFormat="1" applyFont="1" applyFill="1"/>
    <xf numFmtId="176" fontId="2" fillId="3" borderId="1" xfId="3" applyNumberFormat="1" applyFont="1" applyFill="1" applyBorder="1"/>
    <xf numFmtId="169" fontId="2" fillId="0" borderId="0" xfId="8" applyNumberFormat="1" applyFont="1"/>
    <xf numFmtId="176" fontId="2" fillId="2" borderId="0" xfId="3" applyNumberFormat="1" applyFont="1" applyFill="1"/>
    <xf numFmtId="173" fontId="9" fillId="2" borderId="0" xfId="7" applyNumberFormat="1" applyFont="1" applyFill="1"/>
    <xf numFmtId="0" fontId="2" fillId="0" borderId="1" xfId="2" applyNumberFormat="1" applyFont="1" applyBorder="1"/>
    <xf numFmtId="176" fontId="2" fillId="2" borderId="1" xfId="5" applyNumberFormat="1" applyFont="1" applyFill="1" applyBorder="1"/>
    <xf numFmtId="176" fontId="27" fillId="0" borderId="0" xfId="7" applyNumberFormat="1" applyFont="1" applyAlignment="1">
      <alignment wrapText="1"/>
    </xf>
    <xf numFmtId="0" fontId="9" fillId="0" borderId="15" xfId="7" applyFont="1" applyBorder="1" applyAlignment="1">
      <alignment horizontal="center"/>
    </xf>
    <xf numFmtId="176" fontId="2" fillId="0" borderId="0" xfId="5" applyNumberFormat="1" applyFont="1" applyFill="1"/>
    <xf numFmtId="176" fontId="2" fillId="0" borderId="1" xfId="5" applyNumberFormat="1" applyFont="1" applyFill="1" applyBorder="1"/>
    <xf numFmtId="3" fontId="2" fillId="0" borderId="0" xfId="7" applyNumberFormat="1" applyFont="1"/>
    <xf numFmtId="41" fontId="2" fillId="0" borderId="0" xfId="3" applyFont="1" applyFill="1"/>
    <xf numFmtId="41" fontId="9" fillId="0" borderId="0" xfId="3" applyFont="1" applyFill="1"/>
    <xf numFmtId="173" fontId="2" fillId="0" borderId="0" xfId="7" applyNumberFormat="1" applyFont="1"/>
    <xf numFmtId="10" fontId="2" fillId="0" borderId="0" xfId="8" applyNumberFormat="1" applyFont="1" applyFill="1"/>
    <xf numFmtId="0" fontId="9" fillId="0" borderId="1" xfId="7" applyFont="1" applyBorder="1" applyAlignment="1">
      <alignment horizontal="left"/>
    </xf>
    <xf numFmtId="176" fontId="9" fillId="0" borderId="1" xfId="5" applyNumberFormat="1" applyFont="1" applyFill="1" applyBorder="1"/>
    <xf numFmtId="176" fontId="2" fillId="0" borderId="1" xfId="7" applyNumberFormat="1" applyFont="1" applyBorder="1"/>
    <xf numFmtId="3" fontId="9" fillId="3" borderId="1" xfId="2" applyNumberFormat="1" applyFont="1" applyFill="1" applyBorder="1" applyAlignment="1">
      <alignment horizontal="center" wrapText="1"/>
    </xf>
    <xf numFmtId="0" fontId="9" fillId="3" borderId="1" xfId="0" applyFont="1" applyFill="1" applyBorder="1" applyAlignment="1">
      <alignment horizontal="center"/>
    </xf>
    <xf numFmtId="0" fontId="4" fillId="0" borderId="0" xfId="1" applyAlignment="1" applyProtection="1"/>
    <xf numFmtId="3" fontId="9" fillId="3" borderId="1" xfId="2" applyNumberFormat="1" applyFont="1" applyFill="1" applyBorder="1" applyAlignment="1">
      <alignment horizontal="left" wrapText="1"/>
    </xf>
    <xf numFmtId="3" fontId="9" fillId="3" borderId="1" xfId="2" applyNumberFormat="1" applyFont="1" applyFill="1" applyBorder="1"/>
    <xf numFmtId="3" fontId="9" fillId="0" borderId="0" xfId="2" applyNumberFormat="1" applyFont="1" applyAlignment="1">
      <alignment horizontal="left" wrapText="1"/>
    </xf>
    <xf numFmtId="3" fontId="9" fillId="0" borderId="0" xfId="2" applyNumberFormat="1" applyFont="1"/>
    <xf numFmtId="17" fontId="2" fillId="0" borderId="0" xfId="0" applyNumberFormat="1" applyFont="1"/>
    <xf numFmtId="9" fontId="2" fillId="0" borderId="0" xfId="8" applyFont="1"/>
    <xf numFmtId="176" fontId="2" fillId="0" borderId="0" xfId="5" applyNumberFormat="1" applyFont="1" applyAlignment="1">
      <alignment horizontal="right"/>
    </xf>
    <xf numFmtId="43" fontId="2" fillId="4" borderId="0" xfId="2" applyFont="1" applyFill="1"/>
    <xf numFmtId="43" fontId="21" fillId="0" borderId="0" xfId="2" applyFont="1"/>
    <xf numFmtId="176" fontId="2" fillId="0" borderId="0" xfId="0" applyNumberFormat="1" applyFont="1"/>
    <xf numFmtId="4" fontId="2" fillId="0" borderId="0" xfId="0" applyNumberFormat="1" applyFont="1"/>
    <xf numFmtId="4" fontId="9" fillId="0" borderId="0" xfId="0" applyNumberFormat="1" applyFont="1"/>
    <xf numFmtId="43" fontId="20" fillId="0" borderId="0" xfId="2" applyFont="1"/>
    <xf numFmtId="10" fontId="20" fillId="0" borderId="0" xfId="2" applyNumberFormat="1" applyFont="1"/>
    <xf numFmtId="10" fontId="2" fillId="0" borderId="0" xfId="0" applyNumberFormat="1" applyFont="1"/>
    <xf numFmtId="0" fontId="9" fillId="7" borderId="1" xfId="0" applyFont="1" applyFill="1" applyBorder="1"/>
    <xf numFmtId="43" fontId="21" fillId="7" borderId="1" xfId="2" applyFont="1" applyFill="1" applyBorder="1"/>
    <xf numFmtId="0" fontId="2" fillId="2" borderId="1" xfId="0" applyFont="1" applyFill="1" applyBorder="1"/>
    <xf numFmtId="0" fontId="2" fillId="8" borderId="1" xfId="0" applyFont="1" applyFill="1" applyBorder="1"/>
    <xf numFmtId="0" fontId="2" fillId="9" borderId="1" xfId="0" applyFont="1" applyFill="1" applyBorder="1"/>
    <xf numFmtId="3" fontId="9" fillId="14" borderId="0" xfId="6" applyNumberFormat="1" applyFont="1" applyFill="1" applyBorder="1" applyAlignment="1" applyProtection="1">
      <alignment horizontal="center" vertical="center" wrapText="1"/>
    </xf>
    <xf numFmtId="3" fontId="20" fillId="3" borderId="1" xfId="6" applyNumberFormat="1" applyFont="1" applyFill="1" applyBorder="1" applyAlignment="1" applyProtection="1">
      <alignment wrapText="1"/>
    </xf>
    <xf numFmtId="3" fontId="2" fillId="0" borderId="1" xfId="0" applyNumberFormat="1" applyFont="1" applyBorder="1" applyProtection="1">
      <protection locked="0"/>
    </xf>
    <xf numFmtId="10" fontId="20" fillId="3" borderId="1" xfId="8" applyNumberFormat="1" applyFont="1" applyFill="1" applyBorder="1" applyAlignment="1" applyProtection="1">
      <alignment wrapText="1"/>
    </xf>
    <xf numFmtId="3" fontId="9" fillId="16" borderId="2" xfId="0" applyNumberFormat="1" applyFont="1" applyFill="1" applyBorder="1" applyProtection="1">
      <protection hidden="1"/>
    </xf>
    <xf numFmtId="0" fontId="2" fillId="14" borderId="0" xfId="0" applyFont="1" applyFill="1" applyProtection="1">
      <protection hidden="1"/>
    </xf>
    <xf numFmtId="0" fontId="2" fillId="14" borderId="0" xfId="0" applyFont="1" applyFill="1"/>
    <xf numFmtId="0" fontId="2" fillId="6" borderId="1" xfId="0" applyFont="1" applyFill="1" applyBorder="1" applyAlignment="1" applyProtection="1">
      <alignment wrapText="1"/>
      <protection hidden="1"/>
    </xf>
    <xf numFmtId="3" fontId="2" fillId="6" borderId="14" xfId="0" applyNumberFormat="1" applyFont="1" applyFill="1" applyBorder="1" applyProtection="1">
      <protection locked="0"/>
    </xf>
    <xf numFmtId="3" fontId="20" fillId="6" borderId="1" xfId="0" applyNumberFormat="1" applyFont="1" applyFill="1" applyBorder="1"/>
    <xf numFmtId="0" fontId="2" fillId="6" borderId="1" xfId="0" applyFont="1" applyFill="1" applyBorder="1"/>
    <xf numFmtId="3" fontId="2" fillId="6" borderId="1" xfId="0" applyNumberFormat="1" applyFont="1" applyFill="1" applyBorder="1" applyProtection="1">
      <protection hidden="1"/>
    </xf>
    <xf numFmtId="3" fontId="2" fillId="18" borderId="1" xfId="0" applyNumberFormat="1" applyFont="1" applyFill="1" applyBorder="1" applyProtection="1">
      <protection locked="0"/>
    </xf>
    <xf numFmtId="3" fontId="2" fillId="6" borderId="0" xfId="0" applyNumberFormat="1" applyFont="1" applyFill="1" applyProtection="1">
      <protection locked="0"/>
    </xf>
    <xf numFmtId="3" fontId="30" fillId="16" borderId="3" xfId="0" applyNumberFormat="1" applyFont="1" applyFill="1" applyBorder="1" applyProtection="1">
      <protection hidden="1"/>
    </xf>
    <xf numFmtId="3" fontId="2" fillId="16" borderId="3" xfId="0" applyNumberFormat="1" applyFont="1" applyFill="1" applyBorder="1" applyProtection="1">
      <protection hidden="1"/>
    </xf>
    <xf numFmtId="3" fontId="2" fillId="16" borderId="1" xfId="0" applyNumberFormat="1" applyFont="1" applyFill="1" applyBorder="1" applyProtection="1">
      <protection hidden="1"/>
    </xf>
    <xf numFmtId="0" fontId="2" fillId="16" borderId="9" xfId="0" applyFont="1" applyFill="1" applyBorder="1"/>
    <xf numFmtId="3" fontId="2" fillId="16" borderId="2" xfId="0" applyNumberFormat="1" applyFont="1" applyFill="1" applyBorder="1" applyProtection="1">
      <protection hidden="1"/>
    </xf>
    <xf numFmtId="0" fontId="2" fillId="6" borderId="14" xfId="0" applyFont="1" applyFill="1" applyBorder="1" applyAlignment="1" applyProtection="1">
      <alignment horizontal="left" vertical="center" wrapText="1"/>
      <protection hidden="1"/>
    </xf>
    <xf numFmtId="3" fontId="2" fillId="6" borderId="14" xfId="0" applyNumberFormat="1" applyFont="1" applyFill="1" applyBorder="1" applyProtection="1">
      <protection hidden="1"/>
    </xf>
    <xf numFmtId="3" fontId="19" fillId="6" borderId="14" xfId="0" applyNumberFormat="1" applyFont="1" applyFill="1" applyBorder="1" applyProtection="1">
      <protection hidden="1"/>
    </xf>
    <xf numFmtId="170" fontId="20" fillId="19" borderId="5" xfId="2" applyNumberFormat="1" applyFont="1" applyFill="1" applyBorder="1"/>
    <xf numFmtId="0" fontId="2" fillId="6" borderId="4" xfId="0" applyFont="1" applyFill="1" applyBorder="1" applyAlignment="1" applyProtection="1">
      <alignment horizontal="left" vertical="center" wrapText="1"/>
      <protection hidden="1"/>
    </xf>
    <xf numFmtId="3" fontId="2" fillId="6" borderId="4" xfId="0" applyNumberFormat="1" applyFont="1" applyFill="1" applyBorder="1" applyProtection="1">
      <protection hidden="1"/>
    </xf>
    <xf numFmtId="3" fontId="19" fillId="6" borderId="4" xfId="0" applyNumberFormat="1" applyFont="1" applyFill="1" applyBorder="1" applyProtection="1">
      <protection hidden="1"/>
    </xf>
    <xf numFmtId="170" fontId="20" fillId="19" borderId="1" xfId="2" applyNumberFormat="1" applyFont="1" applyFill="1" applyBorder="1"/>
    <xf numFmtId="0" fontId="2" fillId="6" borderId="9" xfId="0" applyFont="1" applyFill="1" applyBorder="1" applyAlignment="1" applyProtection="1">
      <alignment horizontal="left" vertical="center" wrapText="1"/>
      <protection hidden="1"/>
    </xf>
    <xf numFmtId="3" fontId="2" fillId="6" borderId="9" xfId="0" applyNumberFormat="1" applyFont="1" applyFill="1" applyBorder="1" applyProtection="1">
      <protection hidden="1"/>
    </xf>
    <xf numFmtId="3" fontId="19" fillId="6" borderId="9" xfId="0" applyNumberFormat="1" applyFont="1" applyFill="1" applyBorder="1" applyProtection="1">
      <protection hidden="1"/>
    </xf>
    <xf numFmtId="170" fontId="20" fillId="19" borderId="2" xfId="2" applyNumberFormat="1" applyFont="1" applyFill="1" applyBorder="1"/>
    <xf numFmtId="0" fontId="2" fillId="14" borderId="0" xfId="0" applyFont="1" applyFill="1" applyProtection="1">
      <protection locked="0" hidden="1"/>
    </xf>
    <xf numFmtId="0" fontId="2" fillId="3" borderId="4" xfId="0" applyFont="1" applyFill="1" applyBorder="1"/>
    <xf numFmtId="41" fontId="2" fillId="0" borderId="0" xfId="0" applyNumberFormat="1" applyFont="1"/>
    <xf numFmtId="0" fontId="9" fillId="0" borderId="1" xfId="0" applyFont="1" applyBorder="1"/>
    <xf numFmtId="3" fontId="9" fillId="0" borderId="1" xfId="2" applyNumberFormat="1" applyFont="1" applyBorder="1"/>
    <xf numFmtId="0" fontId="2" fillId="3" borderId="3" xfId="0" applyFont="1" applyFill="1" applyBorder="1"/>
    <xf numFmtId="10" fontId="2" fillId="0" borderId="1" xfId="0" applyNumberFormat="1" applyFont="1" applyBorder="1"/>
    <xf numFmtId="165" fontId="9" fillId="0" borderId="0" xfId="0" applyNumberFormat="1" applyFont="1"/>
    <xf numFmtId="165" fontId="2" fillId="0" borderId="0" xfId="0" applyNumberFormat="1" applyFont="1"/>
    <xf numFmtId="43" fontId="9" fillId="0" borderId="0" xfId="0" applyNumberFormat="1" applyFont="1"/>
    <xf numFmtId="0" fontId="9" fillId="3" borderId="0" xfId="0" applyFont="1" applyFill="1"/>
    <xf numFmtId="0" fontId="2" fillId="3" borderId="0" xfId="0" applyFont="1" applyFill="1"/>
    <xf numFmtId="43" fontId="9" fillId="3" borderId="1" xfId="2" applyFont="1" applyFill="1" applyBorder="1" applyAlignment="1">
      <alignment horizontal="center"/>
    </xf>
    <xf numFmtId="166" fontId="2" fillId="0" borderId="0" xfId="0" applyNumberFormat="1" applyFont="1"/>
    <xf numFmtId="10" fontId="2" fillId="0" borderId="0" xfId="8" applyNumberFormat="1" applyFont="1"/>
    <xf numFmtId="165" fontId="2" fillId="0" borderId="1" xfId="2" applyNumberFormat="1" applyFont="1" applyBorder="1"/>
    <xf numFmtId="43" fontId="2" fillId="2" borderId="1" xfId="2" applyFont="1" applyFill="1" applyBorder="1"/>
    <xf numFmtId="165" fontId="2" fillId="0" borderId="0" xfId="8" applyNumberFormat="1" applyFont="1"/>
    <xf numFmtId="165" fontId="2" fillId="0" borderId="0" xfId="2" applyNumberFormat="1" applyFont="1"/>
    <xf numFmtId="164" fontId="9" fillId="0" borderId="0" xfId="0" applyNumberFormat="1" applyFont="1"/>
    <xf numFmtId="173" fontId="2" fillId="0" borderId="0" xfId="0" applyNumberFormat="1" applyFont="1"/>
    <xf numFmtId="174" fontId="9" fillId="0" borderId="0" xfId="3" applyNumberFormat="1" applyFont="1"/>
    <xf numFmtId="3" fontId="9" fillId="0" borderId="0" xfId="0" applyNumberFormat="1" applyFont="1"/>
    <xf numFmtId="41" fontId="9" fillId="0" borderId="0" xfId="3" applyFont="1"/>
    <xf numFmtId="41" fontId="9" fillId="0" borderId="0" xfId="0" applyNumberFormat="1" applyFont="1"/>
    <xf numFmtId="0" fontId="2" fillId="16" borderId="3" xfId="0" applyFont="1" applyFill="1" applyBorder="1" applyAlignment="1" applyProtection="1">
      <alignment wrapText="1"/>
      <protection hidden="1"/>
    </xf>
    <xf numFmtId="177" fontId="2" fillId="0" borderId="1" xfId="7" applyNumberFormat="1" applyFont="1" applyBorder="1"/>
    <xf numFmtId="177" fontId="9" fillId="3" borderId="1" xfId="7" applyNumberFormat="1" applyFont="1" applyFill="1" applyBorder="1"/>
    <xf numFmtId="0" fontId="2" fillId="0" borderId="0" xfId="0" applyFont="1" applyProtection="1">
      <protection hidden="1"/>
    </xf>
    <xf numFmtId="0" fontId="2" fillId="14" borderId="0" xfId="0" applyFont="1" applyFill="1" applyAlignment="1" applyProtection="1">
      <alignment horizontal="left"/>
      <protection hidden="1"/>
    </xf>
    <xf numFmtId="3" fontId="9" fillId="3" borderId="1" xfId="5" applyNumberFormat="1" applyFont="1" applyFill="1" applyBorder="1" applyAlignment="1">
      <alignment horizontal="center" wrapText="1"/>
    </xf>
    <xf numFmtId="3" fontId="2" fillId="0" borderId="1" xfId="0" applyNumberFormat="1" applyFont="1" applyBorder="1"/>
    <xf numFmtId="10" fontId="2" fillId="0" borderId="1" xfId="10" applyNumberFormat="1" applyFont="1" applyBorder="1"/>
    <xf numFmtId="3" fontId="9" fillId="0" borderId="1" xfId="5" applyNumberFormat="1" applyFont="1" applyBorder="1"/>
    <xf numFmtId="173" fontId="9" fillId="0" borderId="1" xfId="5" applyNumberFormat="1" applyFont="1" applyBorder="1"/>
    <xf numFmtId="3" fontId="2" fillId="0" borderId="0" xfId="5" applyNumberFormat="1" applyFont="1"/>
    <xf numFmtId="173" fontId="2" fillId="0" borderId="0" xfId="5" applyNumberFormat="1" applyFont="1"/>
    <xf numFmtId="0" fontId="9" fillId="0" borderId="18" xfId="0" applyFont="1" applyBorder="1" applyAlignment="1">
      <alignment horizontal="left" vertical="top" wrapText="1"/>
    </xf>
    <xf numFmtId="173" fontId="9" fillId="0" borderId="18" xfId="0" applyNumberFormat="1" applyFont="1" applyBorder="1" applyAlignment="1">
      <alignment horizontal="left" vertical="top" wrapText="1"/>
    </xf>
    <xf numFmtId="0" fontId="2" fillId="0" borderId="18" xfId="0" applyFont="1" applyBorder="1" applyAlignment="1">
      <alignment vertical="top" wrapText="1"/>
    </xf>
    <xf numFmtId="43" fontId="2" fillId="0" borderId="0" xfId="5" applyFont="1"/>
    <xf numFmtId="3" fontId="2" fillId="0" borderId="0" xfId="2" applyNumberFormat="1" applyFont="1"/>
    <xf numFmtId="173" fontId="9" fillId="0" borderId="0" xfId="0" applyNumberFormat="1" applyFont="1"/>
    <xf numFmtId="177" fontId="2" fillId="0" borderId="0" xfId="0" applyNumberFormat="1" applyFont="1"/>
    <xf numFmtId="177" fontId="9" fillId="0" borderId="1" xfId="7" applyNumberFormat="1" applyFont="1" applyBorder="1"/>
    <xf numFmtId="3" fontId="2" fillId="0" borderId="1" xfId="2" applyNumberFormat="1" applyFont="1" applyBorder="1" applyAlignment="1">
      <alignment horizontal="left" wrapText="1"/>
    </xf>
    <xf numFmtId="3" fontId="2" fillId="2" borderId="1" xfId="2" applyNumberFormat="1" applyFont="1" applyFill="1" applyBorder="1" applyAlignment="1">
      <alignment horizontal="left" wrapText="1"/>
    </xf>
    <xf numFmtId="3" fontId="2" fillId="2" borderId="1" xfId="2" applyNumberFormat="1" applyFont="1" applyFill="1" applyBorder="1"/>
    <xf numFmtId="41" fontId="2" fillId="0" borderId="1" xfId="3" applyFont="1" applyBorder="1"/>
    <xf numFmtId="3" fontId="2" fillId="2" borderId="0" xfId="0" applyNumberFormat="1" applyFont="1" applyFill="1"/>
    <xf numFmtId="3" fontId="2" fillId="0" borderId="1" xfId="2" applyNumberFormat="1" applyFont="1" applyBorder="1" applyAlignment="1">
      <alignment horizontal="right" wrapText="1"/>
    </xf>
    <xf numFmtId="3" fontId="9" fillId="3" borderId="1" xfId="2" applyNumberFormat="1" applyFont="1" applyFill="1" applyBorder="1" applyAlignment="1">
      <alignment horizontal="right" wrapText="1"/>
    </xf>
    <xf numFmtId="3" fontId="2" fillId="2" borderId="1" xfId="0" applyNumberFormat="1" applyFont="1" applyFill="1" applyBorder="1"/>
    <xf numFmtId="0" fontId="9" fillId="3" borderId="1" xfId="0" applyFont="1" applyFill="1" applyBorder="1" applyAlignment="1">
      <alignment wrapText="1"/>
    </xf>
    <xf numFmtId="0" fontId="9" fillId="0" borderId="0" xfId="0" applyFont="1" applyAlignment="1">
      <alignment wrapText="1"/>
    </xf>
    <xf numFmtId="0" fontId="2" fillId="0" borderId="1" xfId="0" applyFont="1" applyBorder="1" applyAlignment="1">
      <alignment wrapText="1"/>
    </xf>
    <xf numFmtId="3" fontId="2" fillId="2" borderId="0" xfId="2" applyNumberFormat="1" applyFont="1" applyFill="1"/>
    <xf numFmtId="43" fontId="2" fillId="3" borderId="1" xfId="2" applyFont="1" applyFill="1" applyBorder="1"/>
    <xf numFmtId="3" fontId="2" fillId="3" borderId="1" xfId="2" applyNumberFormat="1" applyFont="1" applyFill="1" applyBorder="1"/>
    <xf numFmtId="17" fontId="2" fillId="0" borderId="0" xfId="3" applyNumberFormat="1" applyFont="1"/>
    <xf numFmtId="3" fontId="9" fillId="2" borderId="0" xfId="0" applyNumberFormat="1" applyFont="1" applyFill="1"/>
    <xf numFmtId="3" fontId="9" fillId="0" borderId="1" xfId="0" applyNumberFormat="1" applyFont="1" applyBorder="1"/>
    <xf numFmtId="9" fontId="2" fillId="0" borderId="0" xfId="0" applyNumberFormat="1" applyFont="1"/>
    <xf numFmtId="177" fontId="2" fillId="0" borderId="1" xfId="2" applyNumberFormat="1" applyFont="1" applyBorder="1"/>
    <xf numFmtId="177" fontId="9" fillId="0" borderId="1" xfId="2" applyNumberFormat="1" applyFont="1" applyBorder="1"/>
    <xf numFmtId="41" fontId="19" fillId="0" borderId="0" xfId="3" applyFont="1"/>
    <xf numFmtId="167" fontId="2" fillId="0" borderId="0" xfId="0" applyNumberFormat="1" applyFont="1"/>
    <xf numFmtId="3" fontId="9" fillId="3" borderId="3" xfId="2" applyNumberFormat="1" applyFont="1" applyFill="1" applyBorder="1" applyAlignment="1">
      <alignment horizontal="left" wrapText="1"/>
    </xf>
    <xf numFmtId="165" fontId="9" fillId="3" borderId="1" xfId="0" applyNumberFormat="1" applyFont="1" applyFill="1" applyBorder="1"/>
    <xf numFmtId="17" fontId="2" fillId="2" borderId="1" xfId="0" applyNumberFormat="1" applyFont="1" applyFill="1" applyBorder="1"/>
    <xf numFmtId="165" fontId="2" fillId="2" borderId="1" xfId="2" applyNumberFormat="1" applyFont="1" applyFill="1" applyBorder="1"/>
    <xf numFmtId="172" fontId="9" fillId="0" borderId="0" xfId="8" applyNumberFormat="1" applyFont="1"/>
    <xf numFmtId="3" fontId="2" fillId="0" borderId="0" xfId="2" applyNumberFormat="1" applyFont="1" applyAlignment="1">
      <alignment horizontal="left" wrapText="1"/>
    </xf>
    <xf numFmtId="0" fontId="9" fillId="5" borderId="1" xfId="0" applyFont="1" applyFill="1" applyBorder="1"/>
    <xf numFmtId="3" fontId="2" fillId="0" borderId="3" xfId="2" applyNumberFormat="1" applyFont="1" applyBorder="1"/>
    <xf numFmtId="17" fontId="2" fillId="8" borderId="1" xfId="0" applyNumberFormat="1" applyFont="1" applyFill="1" applyBorder="1"/>
    <xf numFmtId="165" fontId="2" fillId="8" borderId="1" xfId="2" applyNumberFormat="1" applyFont="1" applyFill="1" applyBorder="1"/>
    <xf numFmtId="43" fontId="2" fillId="8" borderId="1" xfId="2" applyFont="1" applyFill="1" applyBorder="1"/>
    <xf numFmtId="17" fontId="2" fillId="10" borderId="1" xfId="0" applyNumberFormat="1" applyFont="1" applyFill="1" applyBorder="1"/>
    <xf numFmtId="165" fontId="2" fillId="10" borderId="1" xfId="2" applyNumberFormat="1" applyFont="1" applyFill="1" applyBorder="1"/>
    <xf numFmtId="43" fontId="2" fillId="10" borderId="1" xfId="2" applyFont="1" applyFill="1" applyBorder="1"/>
    <xf numFmtId="165" fontId="2" fillId="2" borderId="0" xfId="2" applyNumberFormat="1" applyFont="1" applyFill="1"/>
    <xf numFmtId="165" fontId="2" fillId="2" borderId="0" xfId="0" applyNumberFormat="1" applyFont="1" applyFill="1"/>
    <xf numFmtId="43" fontId="2" fillId="13" borderId="0" xfId="0" applyNumberFormat="1" applyFont="1" applyFill="1"/>
    <xf numFmtId="10" fontId="2" fillId="0" borderId="0" xfId="2" applyNumberFormat="1" applyFont="1"/>
    <xf numFmtId="173" fontId="20" fillId="0" borderId="1" xfId="2" applyNumberFormat="1" applyFont="1" applyBorder="1" applyAlignment="1">
      <alignment horizontal="left" indent="2"/>
    </xf>
    <xf numFmtId="173" fontId="2" fillId="0" borderId="1" xfId="0" applyNumberFormat="1" applyFont="1" applyBorder="1" applyAlignment="1">
      <alignment horizontal="left" indent="2"/>
    </xf>
    <xf numFmtId="173" fontId="20" fillId="2" borderId="1" xfId="2" applyNumberFormat="1" applyFont="1" applyFill="1" applyBorder="1" applyAlignment="1">
      <alignment horizontal="left" indent="2"/>
    </xf>
    <xf numFmtId="173" fontId="20" fillId="8" borderId="1" xfId="2" applyNumberFormat="1" applyFont="1" applyFill="1" applyBorder="1" applyAlignment="1">
      <alignment horizontal="left" indent="2"/>
    </xf>
    <xf numFmtId="173" fontId="20" fillId="9" borderId="1" xfId="2" applyNumberFormat="1" applyFont="1" applyFill="1" applyBorder="1" applyAlignment="1">
      <alignment horizontal="left" indent="2"/>
    </xf>
    <xf numFmtId="173" fontId="20" fillId="0" borderId="0" xfId="2" applyNumberFormat="1" applyFont="1"/>
    <xf numFmtId="177" fontId="2" fillId="0" borderId="0" xfId="5" applyNumberFormat="1" applyFont="1" applyAlignment="1">
      <alignment horizontal="right"/>
    </xf>
    <xf numFmtId="0" fontId="9" fillId="0" borderId="1" xfId="7" applyFont="1" applyBorder="1" applyAlignment="1">
      <alignment horizontal="center"/>
    </xf>
    <xf numFmtId="176" fontId="9" fillId="0" borderId="0" xfId="0" applyNumberFormat="1" applyFont="1"/>
    <xf numFmtId="0" fontId="0" fillId="0" borderId="1" xfId="0" applyBorder="1"/>
    <xf numFmtId="176" fontId="9" fillId="0" borderId="1" xfId="0" applyNumberFormat="1" applyFont="1" applyBorder="1"/>
    <xf numFmtId="0" fontId="25" fillId="0" borderId="0" xfId="18"/>
    <xf numFmtId="0" fontId="31" fillId="0" borderId="0" xfId="18" applyFont="1"/>
    <xf numFmtId="0" fontId="31" fillId="0" borderId="0" xfId="18" applyFont="1" applyAlignment="1">
      <alignment horizontal="center"/>
    </xf>
    <xf numFmtId="0" fontId="31" fillId="0" borderId="0" xfId="18" applyFont="1" applyAlignment="1">
      <alignment horizontal="center" vertical="center"/>
    </xf>
    <xf numFmtId="0" fontId="25" fillId="14" borderId="0" xfId="18" applyFill="1" applyProtection="1">
      <protection locked="0"/>
    </xf>
    <xf numFmtId="170" fontId="33" fillId="14" borderId="0" xfId="2" applyNumberFormat="1" applyFont="1" applyFill="1" applyBorder="1" applyProtection="1">
      <protection locked="0"/>
    </xf>
    <xf numFmtId="0" fontId="33" fillId="14" borderId="0" xfId="18" applyFont="1" applyFill="1" applyProtection="1">
      <protection locked="0"/>
    </xf>
    <xf numFmtId="0" fontId="25" fillId="14" borderId="0" xfId="18" applyFill="1"/>
    <xf numFmtId="170" fontId="34" fillId="0" borderId="0" xfId="2" applyNumberFormat="1" applyFont="1" applyFill="1" applyBorder="1" applyAlignment="1" applyProtection="1">
      <alignment horizontal="left"/>
      <protection locked="0"/>
    </xf>
    <xf numFmtId="170" fontId="33" fillId="0" borderId="0" xfId="2" applyNumberFormat="1" applyFont="1" applyFill="1" applyBorder="1" applyProtection="1">
      <protection locked="0"/>
    </xf>
    <xf numFmtId="0" fontId="35" fillId="14" borderId="0" xfId="19" applyFont="1" applyFill="1"/>
    <xf numFmtId="0" fontId="31" fillId="14" borderId="0" xfId="18" applyFont="1" applyFill="1"/>
    <xf numFmtId="0" fontId="31" fillId="14" borderId="0" xfId="18" applyFont="1" applyFill="1" applyAlignment="1">
      <alignment horizontal="center"/>
    </xf>
    <xf numFmtId="0" fontId="31" fillId="14" borderId="0" xfId="18" applyFont="1" applyFill="1" applyAlignment="1">
      <alignment horizontal="center" vertical="center"/>
    </xf>
    <xf numFmtId="0" fontId="41" fillId="14" borderId="1" xfId="18" applyFont="1" applyFill="1" applyBorder="1" applyAlignment="1" applyProtection="1">
      <alignment horizontal="center"/>
      <protection hidden="1"/>
    </xf>
    <xf numFmtId="0" fontId="43" fillId="14" borderId="0" xfId="18" applyFont="1" applyFill="1" applyAlignment="1">
      <alignment vertical="top"/>
    </xf>
    <xf numFmtId="0" fontId="43" fillId="14" borderId="0" xfId="18" applyFont="1" applyFill="1" applyAlignment="1">
      <alignment horizontal="center" vertical="top"/>
    </xf>
    <xf numFmtId="0" fontId="31" fillId="14" borderId="15" xfId="18" applyFont="1" applyFill="1" applyBorder="1" applyAlignment="1">
      <alignment horizontal="left" vertical="top"/>
    </xf>
    <xf numFmtId="0" fontId="31" fillId="14" borderId="0" xfId="18" applyFont="1" applyFill="1" applyAlignment="1">
      <alignment horizontal="left" vertical="top"/>
    </xf>
    <xf numFmtId="0" fontId="31" fillId="14" borderId="16" xfId="18" applyFont="1" applyFill="1" applyBorder="1" applyAlignment="1">
      <alignment horizontal="left" vertical="top"/>
    </xf>
    <xf numFmtId="0" fontId="43" fillId="14" borderId="15" xfId="18" applyFont="1" applyFill="1" applyBorder="1" applyAlignment="1">
      <alignment vertical="top"/>
    </xf>
    <xf numFmtId="0" fontId="47" fillId="14" borderId="0" xfId="18" applyFont="1" applyFill="1"/>
    <xf numFmtId="0" fontId="40" fillId="5" borderId="14" xfId="18" applyFont="1" applyFill="1" applyBorder="1" applyAlignment="1">
      <alignment horizontal="left"/>
    </xf>
    <xf numFmtId="0" fontId="40" fillId="5" borderId="13" xfId="18" applyFont="1" applyFill="1" applyBorder="1" applyAlignment="1">
      <alignment horizontal="left"/>
    </xf>
    <xf numFmtId="0" fontId="40" fillId="5" borderId="14" xfId="18" applyFont="1" applyFill="1" applyBorder="1"/>
    <xf numFmtId="0" fontId="47" fillId="14" borderId="0" xfId="18" applyFont="1" applyFill="1" applyProtection="1">
      <protection locked="0"/>
    </xf>
    <xf numFmtId="170" fontId="48" fillId="14" borderId="0" xfId="2" applyNumberFormat="1" applyFont="1" applyFill="1" applyBorder="1" applyProtection="1">
      <protection locked="0"/>
    </xf>
    <xf numFmtId="0" fontId="48" fillId="14" borderId="0" xfId="18" applyFont="1" applyFill="1" applyProtection="1">
      <protection locked="0"/>
    </xf>
    <xf numFmtId="0" fontId="49" fillId="0" borderId="7" xfId="18" applyFont="1" applyBorder="1" applyAlignment="1">
      <alignment horizontal="center"/>
    </xf>
    <xf numFmtId="0" fontId="40" fillId="5" borderId="0" xfId="18" applyFont="1" applyFill="1" applyAlignment="1">
      <alignment horizontal="left" vertical="center"/>
    </xf>
    <xf numFmtId="0" fontId="48" fillId="5" borderId="0" xfId="18" applyFont="1" applyFill="1" applyAlignment="1">
      <alignment horizontal="left" vertical="center"/>
    </xf>
    <xf numFmtId="170" fontId="48" fillId="14" borderId="0" xfId="2" applyNumberFormat="1" applyFont="1" applyFill="1" applyBorder="1" applyAlignment="1" applyProtection="1">
      <protection locked="0"/>
    </xf>
    <xf numFmtId="0" fontId="40" fillId="0" borderId="14" xfId="18" applyFont="1" applyBorder="1" applyAlignment="1">
      <alignment horizontal="left"/>
    </xf>
    <xf numFmtId="0" fontId="49" fillId="0" borderId="13" xfId="18" applyFont="1" applyBorder="1" applyAlignment="1">
      <alignment horizontal="center"/>
    </xf>
    <xf numFmtId="0" fontId="40" fillId="0" borderId="13" xfId="18" applyFont="1" applyBorder="1" applyAlignment="1">
      <alignment horizontal="left"/>
    </xf>
    <xf numFmtId="0" fontId="40" fillId="0" borderId="14" xfId="18" applyFont="1" applyBorder="1"/>
    <xf numFmtId="0" fontId="37" fillId="0" borderId="14" xfId="18" applyFont="1" applyBorder="1"/>
    <xf numFmtId="0" fontId="48" fillId="0" borderId="8" xfId="18" applyFont="1" applyBorder="1" applyAlignment="1">
      <alignment horizontal="left" wrapText="1"/>
    </xf>
    <xf numFmtId="0" fontId="48" fillId="0" borderId="9" xfId="18" applyFont="1" applyBorder="1" applyAlignment="1">
      <alignment horizontal="right" vertical="top"/>
    </xf>
    <xf numFmtId="173" fontId="48" fillId="0" borderId="7" xfId="20" applyNumberFormat="1" applyFont="1" applyFill="1" applyBorder="1" applyAlignment="1">
      <alignment horizontal="center" vertical="center"/>
    </xf>
    <xf numFmtId="173" fontId="50" fillId="0" borderId="9" xfId="20" applyNumberFormat="1" applyFont="1" applyFill="1" applyBorder="1" applyAlignment="1">
      <alignment horizontal="left" vertical="center" wrapText="1"/>
    </xf>
    <xf numFmtId="173" fontId="48" fillId="0" borderId="9" xfId="20" applyNumberFormat="1" applyFont="1" applyFill="1" applyBorder="1" applyAlignment="1">
      <alignment horizontal="right" vertical="top"/>
    </xf>
    <xf numFmtId="0" fontId="37" fillId="0" borderId="36" xfId="18" applyFont="1" applyBorder="1" applyAlignment="1">
      <alignment horizontal="left"/>
    </xf>
    <xf numFmtId="0" fontId="37" fillId="0" borderId="0" xfId="18" applyFont="1" applyAlignment="1">
      <alignment horizontal="left"/>
    </xf>
    <xf numFmtId="0" fontId="37" fillId="0" borderId="0" xfId="18" applyFont="1" applyAlignment="1">
      <alignment horizontal="center"/>
    </xf>
    <xf numFmtId="0" fontId="37" fillId="0" borderId="0" xfId="18" applyFont="1"/>
    <xf numFmtId="0" fontId="49" fillId="5" borderId="19" xfId="18" applyFont="1" applyFill="1" applyBorder="1" applyAlignment="1">
      <alignment horizontal="center" vertical="center"/>
    </xf>
    <xf numFmtId="0" fontId="51" fillId="5" borderId="19" xfId="18" applyFont="1" applyFill="1" applyBorder="1" applyAlignment="1">
      <alignment horizontal="center" vertical="center"/>
    </xf>
    <xf numFmtId="0" fontId="25" fillId="14" borderId="15" xfId="18" applyFill="1" applyBorder="1" applyProtection="1">
      <protection locked="0"/>
    </xf>
    <xf numFmtId="0" fontId="49" fillId="14" borderId="19" xfId="18" applyFont="1" applyFill="1" applyBorder="1" applyAlignment="1">
      <alignment horizontal="center" vertical="center"/>
    </xf>
    <xf numFmtId="0" fontId="33" fillId="0" borderId="0" xfId="18" applyFont="1" applyProtection="1">
      <protection locked="0"/>
    </xf>
    <xf numFmtId="0" fontId="51" fillId="14" borderId="19" xfId="18" applyFont="1" applyFill="1" applyBorder="1" applyAlignment="1">
      <alignment horizontal="center" vertical="center"/>
    </xf>
    <xf numFmtId="0" fontId="49" fillId="5" borderId="5" xfId="18" applyFont="1" applyFill="1" applyBorder="1" applyAlignment="1">
      <alignment horizontal="center" vertical="center"/>
    </xf>
    <xf numFmtId="0" fontId="52" fillId="14" borderId="0" xfId="18" applyFont="1" applyFill="1" applyProtection="1">
      <protection locked="0"/>
    </xf>
    <xf numFmtId="0" fontId="49" fillId="14" borderId="38" xfId="18" applyFont="1" applyFill="1" applyBorder="1" applyAlignment="1">
      <alignment horizontal="center" vertical="center"/>
    </xf>
    <xf numFmtId="0" fontId="49" fillId="5" borderId="38" xfId="18" applyFont="1" applyFill="1" applyBorder="1" applyAlignment="1">
      <alignment horizontal="center" vertical="center"/>
    </xf>
    <xf numFmtId="0" fontId="51" fillId="14" borderId="38" xfId="18" applyFont="1" applyFill="1" applyBorder="1" applyAlignment="1">
      <alignment horizontal="center" vertical="center"/>
    </xf>
    <xf numFmtId="0" fontId="37" fillId="0" borderId="19" xfId="18" applyFont="1" applyBorder="1" applyAlignment="1">
      <alignment horizontal="center" vertical="center" textRotation="90" wrapText="1"/>
    </xf>
    <xf numFmtId="170" fontId="33" fillId="14" borderId="0" xfId="18" applyNumberFormat="1" applyFont="1" applyFill="1" applyProtection="1">
      <protection locked="0"/>
    </xf>
    <xf numFmtId="0" fontId="49" fillId="14" borderId="46" xfId="18" applyFont="1" applyFill="1" applyBorder="1" applyAlignment="1">
      <alignment horizontal="center" vertical="center"/>
    </xf>
    <xf numFmtId="0" fontId="50" fillId="14" borderId="0" xfId="18" applyFont="1" applyFill="1" applyAlignment="1" applyProtection="1">
      <alignment vertical="center" wrapText="1"/>
      <protection locked="0"/>
    </xf>
    <xf numFmtId="0" fontId="49" fillId="0" borderId="19" xfId="18" applyFont="1" applyBorder="1" applyAlignment="1">
      <alignment horizontal="center" vertical="center"/>
    </xf>
    <xf numFmtId="0" fontId="56" fillId="5" borderId="0" xfId="18" applyFont="1" applyFill="1" applyAlignment="1" applyProtection="1">
      <alignment vertical="center" wrapText="1"/>
      <protection locked="0"/>
    </xf>
    <xf numFmtId="0" fontId="56" fillId="14" borderId="0" xfId="18" applyFont="1" applyFill="1" applyAlignment="1">
      <alignment vertical="center" wrapText="1"/>
    </xf>
    <xf numFmtId="0" fontId="49" fillId="0" borderId="19" xfId="18" applyFont="1" applyBorder="1" applyAlignment="1" applyProtection="1">
      <alignment horizontal="center" vertical="center"/>
      <protection locked="0"/>
    </xf>
    <xf numFmtId="0" fontId="49" fillId="14" borderId="2" xfId="18" applyFont="1" applyFill="1" applyBorder="1" applyAlignment="1">
      <alignment horizontal="center" vertical="center"/>
    </xf>
    <xf numFmtId="170" fontId="33" fillId="0" borderId="0" xfId="2" applyNumberFormat="1" applyFont="1" applyFill="1" applyBorder="1" applyProtection="1"/>
    <xf numFmtId="0" fontId="49" fillId="5" borderId="19" xfId="18" applyFont="1" applyFill="1" applyBorder="1" applyAlignment="1" applyProtection="1">
      <alignment horizontal="center" vertical="center"/>
      <protection locked="0"/>
    </xf>
    <xf numFmtId="0" fontId="49" fillId="14" borderId="19" xfId="18" applyFont="1" applyFill="1" applyBorder="1" applyAlignment="1" applyProtection="1">
      <alignment horizontal="center" vertical="center"/>
      <protection locked="0"/>
    </xf>
    <xf numFmtId="0" fontId="49" fillId="5" borderId="2" xfId="18" applyFont="1" applyFill="1" applyBorder="1" applyAlignment="1">
      <alignment horizontal="center" vertical="center"/>
    </xf>
    <xf numFmtId="170" fontId="61" fillId="14" borderId="0" xfId="2" applyNumberFormat="1" applyFont="1" applyFill="1" applyBorder="1" applyProtection="1">
      <protection locked="0"/>
    </xf>
    <xf numFmtId="0" fontId="49" fillId="5" borderId="1" xfId="18" applyFont="1" applyFill="1" applyBorder="1" applyAlignment="1">
      <alignment horizontal="center" vertical="center"/>
    </xf>
    <xf numFmtId="0" fontId="25" fillId="0" borderId="0" xfId="18" applyProtection="1">
      <protection locked="0"/>
    </xf>
    <xf numFmtId="0" fontId="51" fillId="14" borderId="2" xfId="18" applyFont="1" applyFill="1" applyBorder="1" applyAlignment="1">
      <alignment horizontal="center" vertical="center"/>
    </xf>
    <xf numFmtId="0" fontId="37" fillId="14" borderId="14" xfId="18" applyFont="1" applyFill="1" applyBorder="1" applyAlignment="1">
      <alignment vertical="center" wrapText="1"/>
    </xf>
    <xf numFmtId="0" fontId="37" fillId="14" borderId="0" xfId="18" applyFont="1" applyFill="1" applyAlignment="1">
      <alignment vertical="center" wrapText="1"/>
    </xf>
    <xf numFmtId="0" fontId="37" fillId="0" borderId="0" xfId="18" applyFont="1" applyAlignment="1">
      <alignment vertical="center" wrapText="1"/>
    </xf>
    <xf numFmtId="170" fontId="25" fillId="0" borderId="15" xfId="18" applyNumberFormat="1" applyBorder="1" applyProtection="1">
      <protection locked="0"/>
    </xf>
    <xf numFmtId="170" fontId="25" fillId="0" borderId="0" xfId="18" applyNumberFormat="1" applyProtection="1">
      <protection locked="0"/>
    </xf>
    <xf numFmtId="0" fontId="51" fillId="0" borderId="2" xfId="18" applyFont="1" applyBorder="1" applyAlignment="1">
      <alignment horizontal="center" vertical="center"/>
    </xf>
    <xf numFmtId="0" fontId="20" fillId="5" borderId="5" xfId="18" applyFont="1" applyFill="1" applyBorder="1" applyAlignment="1">
      <alignment horizontal="center" vertical="center"/>
    </xf>
    <xf numFmtId="173" fontId="25" fillId="14" borderId="0" xfId="18" applyNumberFormat="1" applyFill="1" applyProtection="1">
      <protection locked="0"/>
    </xf>
    <xf numFmtId="0" fontId="48" fillId="3" borderId="15" xfId="18" applyFont="1" applyFill="1" applyBorder="1" applyAlignment="1">
      <alignment horizontal="left" vertical="center" wrapText="1"/>
    </xf>
    <xf numFmtId="0" fontId="40" fillId="5" borderId="0" xfId="18" applyFont="1" applyFill="1" applyAlignment="1">
      <alignment horizontal="left" vertical="center" wrapText="1"/>
    </xf>
    <xf numFmtId="0" fontId="48" fillId="3" borderId="0" xfId="18" applyFont="1" applyFill="1" applyAlignment="1">
      <alignment horizontal="left" vertical="center" wrapText="1"/>
    </xf>
    <xf numFmtId="0" fontId="48" fillId="3" borderId="0" xfId="18" applyFont="1" applyFill="1" applyAlignment="1">
      <alignment vertical="center" wrapText="1"/>
    </xf>
    <xf numFmtId="0" fontId="48" fillId="3" borderId="0" xfId="18" applyFont="1" applyFill="1" applyAlignment="1">
      <alignment horizontal="center" vertical="center"/>
    </xf>
    <xf numFmtId="0" fontId="48" fillId="0" borderId="13" xfId="18" applyFont="1" applyBorder="1" applyAlignment="1">
      <alignment horizontal="center" vertical="center"/>
    </xf>
    <xf numFmtId="0" fontId="48" fillId="0" borderId="14" xfId="18" applyFont="1" applyBorder="1" applyAlignment="1">
      <alignment horizontal="center" vertical="center"/>
    </xf>
    <xf numFmtId="170" fontId="48" fillId="0" borderId="14" xfId="17" applyNumberFormat="1" applyFont="1" applyFill="1" applyBorder="1" applyAlignment="1">
      <alignment horizontal="center"/>
    </xf>
    <xf numFmtId="0" fontId="65" fillId="0" borderId="14" xfId="7" applyFont="1" applyBorder="1" applyAlignment="1">
      <alignment horizontal="center" vertical="center" wrapText="1"/>
    </xf>
    <xf numFmtId="0" fontId="65" fillId="0" borderId="13" xfId="7" applyFont="1" applyBorder="1" applyAlignment="1">
      <alignment horizontal="center" vertical="center" wrapText="1"/>
    </xf>
    <xf numFmtId="0" fontId="46" fillId="0" borderId="14" xfId="7" applyFont="1" applyBorder="1" applyAlignment="1">
      <alignment horizontal="center" vertical="center" wrapText="1"/>
    </xf>
    <xf numFmtId="0" fontId="31" fillId="0" borderId="14" xfId="18" applyFont="1" applyBorder="1"/>
    <xf numFmtId="0" fontId="48" fillId="0" borderId="14" xfId="18" applyFont="1" applyBorder="1"/>
    <xf numFmtId="0" fontId="31" fillId="0" borderId="14" xfId="18" applyFont="1" applyBorder="1" applyAlignment="1">
      <alignment horizontal="center"/>
    </xf>
    <xf numFmtId="0" fontId="31" fillId="0" borderId="6" xfId="18" applyFont="1" applyBorder="1" applyAlignment="1">
      <alignment horizontal="center"/>
    </xf>
    <xf numFmtId="0" fontId="33" fillId="14" borderId="0" xfId="18" applyFont="1" applyFill="1"/>
    <xf numFmtId="0" fontId="48" fillId="14" borderId="1" xfId="18" applyFont="1" applyFill="1" applyBorder="1" applyAlignment="1" applyProtection="1">
      <alignment horizontal="center"/>
      <protection locked="0"/>
    </xf>
    <xf numFmtId="0" fontId="48" fillId="3" borderId="0" xfId="18" applyFont="1" applyFill="1" applyAlignment="1">
      <alignment horizontal="center"/>
    </xf>
    <xf numFmtId="0" fontId="48" fillId="3" borderId="0" xfId="18" applyFont="1" applyFill="1"/>
    <xf numFmtId="0" fontId="48" fillId="14" borderId="15" xfId="18" applyFont="1" applyFill="1" applyBorder="1" applyAlignment="1">
      <alignment horizontal="center"/>
    </xf>
    <xf numFmtId="0" fontId="48" fillId="14" borderId="0" xfId="18" applyFont="1" applyFill="1" applyAlignment="1">
      <alignment horizontal="center"/>
    </xf>
    <xf numFmtId="0" fontId="48" fillId="14" borderId="0" xfId="18" applyFont="1" applyFill="1"/>
    <xf numFmtId="0" fontId="25" fillId="14" borderId="15" xfId="18" applyFill="1" applyBorder="1"/>
    <xf numFmtId="0" fontId="25" fillId="14" borderId="16" xfId="18" applyFill="1" applyBorder="1"/>
    <xf numFmtId="0" fontId="65" fillId="0" borderId="0" xfId="7" applyFont="1" applyAlignment="1">
      <alignment horizontal="center" vertical="center" wrapText="1"/>
    </xf>
    <xf numFmtId="0" fontId="31" fillId="14" borderId="15" xfId="18" applyFont="1" applyFill="1" applyBorder="1"/>
    <xf numFmtId="0" fontId="37" fillId="14" borderId="0" xfId="18" applyFont="1" applyFill="1"/>
    <xf numFmtId="0" fontId="48" fillId="3" borderId="17" xfId="18" applyFont="1" applyFill="1" applyBorder="1" applyAlignment="1">
      <alignment horizontal="center" vertical="center" wrapText="1"/>
    </xf>
    <xf numFmtId="0" fontId="48" fillId="3" borderId="9" xfId="18" applyFont="1" applyFill="1" applyBorder="1" applyAlignment="1">
      <alignment horizontal="left" vertical="center" wrapText="1"/>
    </xf>
    <xf numFmtId="0" fontId="48" fillId="3" borderId="9" xfId="18" applyFont="1" applyFill="1" applyBorder="1"/>
    <xf numFmtId="0" fontId="48" fillId="0" borderId="15" xfId="18" applyFont="1" applyBorder="1" applyAlignment="1">
      <alignment horizontal="center"/>
    </xf>
    <xf numFmtId="0" fontId="48" fillId="0" borderId="0" xfId="18" applyFont="1" applyAlignment="1">
      <alignment horizontal="center"/>
    </xf>
    <xf numFmtId="0" fontId="48" fillId="0" borderId="0" xfId="18" applyFont="1"/>
    <xf numFmtId="0" fontId="48" fillId="0" borderId="0" xfId="18" applyFont="1" applyAlignment="1">
      <alignment horizontal="left" vertical="center" wrapText="1"/>
    </xf>
    <xf numFmtId="0" fontId="31" fillId="14" borderId="17" xfId="18" applyFont="1" applyFill="1" applyBorder="1"/>
    <xf numFmtId="0" fontId="31" fillId="14" borderId="9" xfId="18" applyFont="1" applyFill="1" applyBorder="1"/>
    <xf numFmtId="0" fontId="48" fillId="14" borderId="9" xfId="18" applyFont="1" applyFill="1" applyBorder="1"/>
    <xf numFmtId="0" fontId="31" fillId="14" borderId="9" xfId="18" applyFont="1" applyFill="1" applyBorder="1" applyAlignment="1">
      <alignment horizontal="center" vertical="center"/>
    </xf>
    <xf numFmtId="0" fontId="31" fillId="0" borderId="9" xfId="18" applyFont="1" applyBorder="1" applyAlignment="1">
      <alignment horizontal="center"/>
    </xf>
    <xf numFmtId="0" fontId="31" fillId="0" borderId="7" xfId="18" applyFont="1" applyBorder="1" applyAlignment="1">
      <alignment horizontal="center"/>
    </xf>
    <xf numFmtId="0" fontId="48" fillId="3" borderId="14" xfId="18" applyFont="1" applyFill="1" applyBorder="1" applyAlignment="1">
      <alignment horizontal="left" vertical="center" wrapText="1"/>
    </xf>
    <xf numFmtId="0" fontId="48" fillId="14" borderId="1" xfId="18" applyFont="1" applyFill="1" applyBorder="1" applyAlignment="1" applyProtection="1">
      <alignment horizontal="center" vertical="center"/>
      <protection locked="0"/>
    </xf>
    <xf numFmtId="0" fontId="48" fillId="14" borderId="16" xfId="18" applyFont="1" applyFill="1" applyBorder="1"/>
    <xf numFmtId="0" fontId="31" fillId="14" borderId="0" xfId="18" applyFont="1" applyFill="1" applyProtection="1">
      <protection locked="0"/>
    </xf>
    <xf numFmtId="0" fontId="31" fillId="0" borderId="0" xfId="18" applyFont="1" applyAlignment="1" applyProtection="1">
      <alignment horizontal="center" vertical="center"/>
      <protection locked="0"/>
    </xf>
    <xf numFmtId="170" fontId="31" fillId="0" borderId="0" xfId="17" applyNumberFormat="1" applyFont="1" applyFill="1" applyBorder="1" applyAlignment="1" applyProtection="1">
      <alignment horizontal="center"/>
      <protection locked="0"/>
    </xf>
    <xf numFmtId="170" fontId="31" fillId="0" borderId="0" xfId="17" applyNumberFormat="1" applyFont="1" applyFill="1" applyBorder="1" applyAlignment="1" applyProtection="1">
      <alignment horizontal="left"/>
      <protection locked="0"/>
    </xf>
    <xf numFmtId="0" fontId="31" fillId="14" borderId="3" xfId="18" applyFont="1" applyFill="1" applyBorder="1" applyAlignment="1" applyProtection="1">
      <alignment horizontal="center" vertical="center"/>
      <protection locked="0"/>
    </xf>
    <xf numFmtId="0" fontId="31" fillId="14" borderId="0" xfId="18" applyFont="1" applyFill="1" applyAlignment="1" applyProtection="1">
      <alignment horizontal="center" vertical="center"/>
      <protection locked="0"/>
    </xf>
    <xf numFmtId="0" fontId="65" fillId="3" borderId="15" xfId="7" applyFont="1" applyFill="1" applyBorder="1" applyAlignment="1">
      <alignment horizontal="center" vertical="center" wrapText="1"/>
    </xf>
    <xf numFmtId="0" fontId="48" fillId="3" borderId="17" xfId="18" applyFont="1" applyFill="1" applyBorder="1"/>
    <xf numFmtId="0" fontId="48" fillId="3" borderId="7" xfId="18" applyFont="1" applyFill="1" applyBorder="1"/>
    <xf numFmtId="0" fontId="48" fillId="0" borderId="17" xfId="18" applyFont="1" applyBorder="1" applyAlignment="1">
      <alignment horizontal="center"/>
    </xf>
    <xf numFmtId="0" fontId="48" fillId="0" borderId="9" xfId="18" applyFont="1" applyBorder="1" applyAlignment="1">
      <alignment horizontal="center"/>
    </xf>
    <xf numFmtId="0" fontId="48" fillId="0" borderId="9" xfId="18" applyFont="1" applyBorder="1"/>
    <xf numFmtId="0" fontId="31" fillId="0" borderId="9" xfId="18" applyFont="1" applyBorder="1"/>
    <xf numFmtId="0" fontId="31" fillId="14" borderId="7" xfId="18" applyFont="1" applyFill="1" applyBorder="1"/>
    <xf numFmtId="0" fontId="31" fillId="0" borderId="0" xfId="18" applyFont="1" applyProtection="1">
      <protection locked="0"/>
    </xf>
    <xf numFmtId="0" fontId="65" fillId="3" borderId="0" xfId="7" applyFont="1" applyFill="1" applyAlignment="1">
      <alignment horizontal="left" vertical="top" wrapText="1"/>
    </xf>
    <xf numFmtId="0" fontId="31" fillId="0" borderId="0" xfId="18" applyFont="1" applyAlignment="1" applyProtection="1">
      <alignment horizontal="center"/>
      <protection locked="0"/>
    </xf>
    <xf numFmtId="0" fontId="48" fillId="0" borderId="0" xfId="18" applyFont="1" applyProtection="1">
      <protection locked="0"/>
    </xf>
    <xf numFmtId="170" fontId="33" fillId="14" borderId="0" xfId="2" applyNumberFormat="1" applyFont="1" applyFill="1" applyBorder="1"/>
    <xf numFmtId="0" fontId="46" fillId="0" borderId="0" xfId="18" applyFont="1"/>
    <xf numFmtId="0" fontId="46" fillId="0" borderId="0" xfId="18" applyFont="1" applyAlignment="1">
      <alignment horizontal="center"/>
    </xf>
    <xf numFmtId="0" fontId="66" fillId="14" borderId="0" xfId="0" applyFont="1" applyFill="1"/>
    <xf numFmtId="0" fontId="67" fillId="0" borderId="0" xfId="18" applyFont="1"/>
    <xf numFmtId="0" fontId="46" fillId="0" borderId="0" xfId="18" applyFont="1" applyAlignment="1">
      <alignment horizontal="center" vertical="center"/>
    </xf>
    <xf numFmtId="0" fontId="67" fillId="14" borderId="0" xfId="18" applyFont="1" applyFill="1" applyProtection="1">
      <protection locked="0"/>
    </xf>
    <xf numFmtId="170" fontId="68" fillId="14" borderId="0" xfId="2" applyNumberFormat="1" applyFont="1" applyFill="1" applyBorder="1"/>
    <xf numFmtId="0" fontId="68" fillId="14" borderId="0" xfId="18" applyFont="1" applyFill="1"/>
    <xf numFmtId="0" fontId="67" fillId="14" borderId="0" xfId="18" applyFont="1" applyFill="1"/>
    <xf numFmtId="41" fontId="0" fillId="0" borderId="0" xfId="3" applyFont="1"/>
    <xf numFmtId="41" fontId="0" fillId="2" borderId="0" xfId="3" applyFont="1" applyFill="1"/>
    <xf numFmtId="174" fontId="0" fillId="0" borderId="0" xfId="3" applyNumberFormat="1" applyFont="1"/>
    <xf numFmtId="17" fontId="0" fillId="0" borderId="0" xfId="3" applyNumberFormat="1" applyFont="1"/>
    <xf numFmtId="41" fontId="2" fillId="21" borderId="0" xfId="3" applyFont="1" applyFill="1" applyAlignment="1">
      <alignment wrapText="1"/>
    </xf>
    <xf numFmtId="177" fontId="2" fillId="0" borderId="0" xfId="7" applyNumberFormat="1" applyFont="1"/>
    <xf numFmtId="41" fontId="0" fillId="0" borderId="9" xfId="3" applyFont="1" applyBorder="1"/>
    <xf numFmtId="41" fontId="0" fillId="2" borderId="9" xfId="3" applyFont="1" applyFill="1" applyBorder="1"/>
    <xf numFmtId="177" fontId="9" fillId="0" borderId="0" xfId="7" applyNumberFormat="1" applyFont="1"/>
    <xf numFmtId="177" fontId="2" fillId="0" borderId="9" xfId="7" applyNumberFormat="1" applyFont="1" applyBorder="1"/>
    <xf numFmtId="177" fontId="2" fillId="0" borderId="1" xfId="5" applyNumberFormat="1" applyFont="1" applyBorder="1"/>
    <xf numFmtId="14" fontId="2" fillId="0" borderId="0" xfId="3" applyNumberFormat="1" applyFont="1"/>
    <xf numFmtId="14" fontId="0" fillId="0" borderId="0" xfId="3" applyNumberFormat="1" applyFont="1"/>
    <xf numFmtId="41" fontId="9" fillId="0" borderId="0" xfId="3" applyFont="1" applyAlignment="1">
      <alignment horizontal="center" wrapText="1"/>
    </xf>
    <xf numFmtId="0" fontId="27" fillId="15" borderId="1" xfId="0" applyFont="1" applyFill="1" applyBorder="1" applyAlignment="1">
      <alignment horizontal="center" vertical="center" wrapText="1"/>
    </xf>
    <xf numFmtId="170" fontId="27" fillId="15" borderId="1" xfId="21" applyNumberFormat="1" applyFont="1" applyFill="1" applyBorder="1" applyAlignment="1" applyProtection="1">
      <alignment horizontal="center" vertical="center" wrapText="1"/>
    </xf>
    <xf numFmtId="178" fontId="20" fillId="6" borderId="1" xfId="20" applyNumberFormat="1" applyFont="1" applyFill="1" applyBorder="1" applyProtection="1"/>
    <xf numFmtId="14" fontId="69" fillId="6" borderId="1" xfId="0" applyNumberFormat="1" applyFont="1" applyFill="1" applyBorder="1"/>
    <xf numFmtId="170" fontId="21" fillId="6" borderId="1" xfId="21" applyNumberFormat="1" applyFont="1" applyFill="1" applyBorder="1" applyProtection="1"/>
    <xf numFmtId="178" fontId="20" fillId="0" borderId="1" xfId="20" applyNumberFormat="1" applyFont="1" applyFill="1" applyBorder="1" applyProtection="1">
      <protection locked="0"/>
    </xf>
    <xf numFmtId="14" fontId="20" fillId="0" borderId="1" xfId="0" applyNumberFormat="1" applyFont="1" applyBorder="1" applyProtection="1">
      <protection locked="0"/>
    </xf>
    <xf numFmtId="14" fontId="0" fillId="2" borderId="0" xfId="0" applyNumberFormat="1" applyFill="1"/>
    <xf numFmtId="178" fontId="0" fillId="0" borderId="0" xfId="0" applyNumberFormat="1"/>
    <xf numFmtId="0" fontId="2" fillId="22" borderId="0" xfId="0" applyFont="1" applyFill="1" applyProtection="1">
      <protection hidden="1"/>
    </xf>
    <xf numFmtId="0" fontId="9" fillId="6" borderId="3" xfId="0" applyFont="1" applyFill="1" applyBorder="1" applyAlignment="1" applyProtection="1">
      <alignment horizontal="left"/>
      <protection hidden="1"/>
    </xf>
    <xf numFmtId="0" fontId="9" fillId="6" borderId="4" xfId="0" applyFont="1" applyFill="1" applyBorder="1" applyAlignment="1" applyProtection="1">
      <alignment horizontal="left"/>
      <protection hidden="1"/>
    </xf>
    <xf numFmtId="0" fontId="2" fillId="6" borderId="15" xfId="0" applyFont="1" applyFill="1" applyBorder="1" applyAlignment="1" applyProtection="1">
      <alignment horizontal="left"/>
      <protection hidden="1"/>
    </xf>
    <xf numFmtId="0" fontId="2" fillId="6" borderId="0" xfId="0" applyFont="1" applyFill="1" applyAlignment="1" applyProtection="1">
      <alignment horizontal="left"/>
      <protection hidden="1"/>
    </xf>
    <xf numFmtId="3" fontId="2" fillId="6" borderId="19" xfId="0" applyNumberFormat="1" applyFont="1" applyFill="1" applyBorder="1" applyProtection="1">
      <protection hidden="1"/>
    </xf>
    <xf numFmtId="0" fontId="9" fillId="3" borderId="15" xfId="0" applyFont="1" applyFill="1" applyBorder="1" applyProtection="1">
      <protection hidden="1"/>
    </xf>
    <xf numFmtId="0" fontId="9" fillId="3" borderId="0" xfId="0" applyFont="1" applyFill="1" applyProtection="1">
      <protection hidden="1"/>
    </xf>
    <xf numFmtId="3" fontId="9" fillId="3" borderId="19" xfId="0" applyNumberFormat="1" applyFont="1" applyFill="1" applyBorder="1" applyProtection="1">
      <protection hidden="1"/>
    </xf>
    <xf numFmtId="3" fontId="2" fillId="3" borderId="19" xfId="0" applyNumberFormat="1" applyFont="1" applyFill="1" applyBorder="1" applyProtection="1">
      <protection hidden="1"/>
    </xf>
    <xf numFmtId="0" fontId="2" fillId="3" borderId="15" xfId="0" applyFont="1" applyFill="1" applyBorder="1" applyProtection="1">
      <protection hidden="1"/>
    </xf>
    <xf numFmtId="173" fontId="2" fillId="3" borderId="0" xfId="2" applyNumberFormat="1" applyFont="1" applyFill="1" applyBorder="1" applyProtection="1">
      <protection locked="0" hidden="1"/>
    </xf>
    <xf numFmtId="3" fontId="2" fillId="3" borderId="19" xfId="0" applyNumberFormat="1" applyFont="1" applyFill="1" applyBorder="1" applyProtection="1">
      <protection locked="0" hidden="1"/>
    </xf>
    <xf numFmtId="0" fontId="2" fillId="3" borderId="0" xfId="0" applyFont="1" applyFill="1" applyProtection="1">
      <protection hidden="1"/>
    </xf>
    <xf numFmtId="3" fontId="2" fillId="3" borderId="19" xfId="0" applyNumberFormat="1" applyFont="1" applyFill="1" applyBorder="1"/>
    <xf numFmtId="0" fontId="9" fillId="3" borderId="3" xfId="0" applyFont="1" applyFill="1" applyBorder="1" applyProtection="1">
      <protection hidden="1"/>
    </xf>
    <xf numFmtId="0" fontId="9" fillId="3" borderId="4" xfId="0" applyFont="1" applyFill="1" applyBorder="1" applyProtection="1">
      <protection hidden="1"/>
    </xf>
    <xf numFmtId="3" fontId="9" fillId="2" borderId="1" xfId="0" applyNumberFormat="1" applyFont="1" applyFill="1" applyBorder="1" applyProtection="1">
      <protection hidden="1"/>
    </xf>
    <xf numFmtId="0" fontId="9" fillId="17" borderId="3" xfId="0" applyFont="1" applyFill="1" applyBorder="1" applyProtection="1">
      <protection hidden="1"/>
    </xf>
    <xf numFmtId="0" fontId="9" fillId="17" borderId="4" xfId="0" applyFont="1" applyFill="1" applyBorder="1" applyProtection="1">
      <protection hidden="1"/>
    </xf>
    <xf numFmtId="3" fontId="2" fillId="17" borderId="1" xfId="0" applyNumberFormat="1" applyFont="1" applyFill="1" applyBorder="1" applyProtection="1">
      <protection hidden="1"/>
    </xf>
    <xf numFmtId="3" fontId="9" fillId="3" borderId="1" xfId="0" applyNumberFormat="1" applyFont="1" applyFill="1" applyBorder="1" applyProtection="1">
      <protection hidden="1"/>
    </xf>
    <xf numFmtId="0" fontId="2" fillId="3" borderId="4" xfId="0" applyFont="1" applyFill="1" applyBorder="1" applyProtection="1">
      <protection hidden="1"/>
    </xf>
    <xf numFmtId="178" fontId="2" fillId="3" borderId="1" xfId="2" applyNumberFormat="1" applyFont="1" applyFill="1" applyBorder="1"/>
    <xf numFmtId="173" fontId="2" fillId="3" borderId="1" xfId="2" applyNumberFormat="1" applyFont="1" applyFill="1" applyBorder="1"/>
    <xf numFmtId="178" fontId="2" fillId="0" borderId="0" xfId="0" applyNumberFormat="1" applyFont="1"/>
    <xf numFmtId="178" fontId="9" fillId="16" borderId="1" xfId="2" applyNumberFormat="1" applyFont="1" applyFill="1" applyBorder="1"/>
    <xf numFmtId="178" fontId="2" fillId="14" borderId="0" xfId="2" applyNumberFormat="1" applyFont="1" applyFill="1"/>
    <xf numFmtId="178" fontId="9" fillId="3" borderId="1" xfId="2" applyNumberFormat="1" applyFont="1" applyFill="1" applyBorder="1"/>
    <xf numFmtId="178" fontId="21" fillId="16" borderId="1" xfId="0" applyNumberFormat="1" applyFont="1" applyFill="1" applyBorder="1" applyAlignment="1">
      <alignment vertical="center"/>
    </xf>
    <xf numFmtId="173" fontId="2" fillId="3" borderId="48" xfId="2" applyNumberFormat="1" applyFont="1" applyFill="1" applyBorder="1"/>
    <xf numFmtId="179" fontId="2" fillId="3" borderId="48" xfId="8" applyNumberFormat="1" applyFont="1" applyFill="1" applyBorder="1"/>
    <xf numFmtId="0" fontId="19" fillId="14" borderId="0" xfId="0" applyFont="1" applyFill="1"/>
    <xf numFmtId="0" fontId="49" fillId="23" borderId="48" xfId="0" applyFont="1" applyFill="1" applyBorder="1" applyAlignment="1">
      <alignment vertical="center" wrapText="1"/>
    </xf>
    <xf numFmtId="173" fontId="2" fillId="14" borderId="49" xfId="2" applyNumberFormat="1" applyFont="1" applyFill="1" applyBorder="1" applyProtection="1">
      <protection locked="0"/>
    </xf>
    <xf numFmtId="0" fontId="21" fillId="3" borderId="50" xfId="0" applyFont="1" applyFill="1" applyBorder="1"/>
    <xf numFmtId="173" fontId="21" fillId="3" borderId="48" xfId="2" applyNumberFormat="1" applyFont="1" applyFill="1" applyBorder="1"/>
    <xf numFmtId="0" fontId="2" fillId="3" borderId="48" xfId="0" applyFont="1" applyFill="1" applyBorder="1"/>
    <xf numFmtId="173" fontId="2" fillId="14" borderId="48" xfId="2" applyNumberFormat="1" applyFont="1" applyFill="1" applyBorder="1" applyProtection="1">
      <protection locked="0"/>
    </xf>
    <xf numFmtId="0" fontId="2" fillId="17" borderId="48" xfId="0" applyFont="1" applyFill="1" applyBorder="1"/>
    <xf numFmtId="173" fontId="21" fillId="17" borderId="48" xfId="0" applyNumberFormat="1" applyFont="1" applyFill="1" applyBorder="1"/>
    <xf numFmtId="0" fontId="2" fillId="14" borderId="0" xfId="0" applyFont="1" applyFill="1" applyProtection="1">
      <protection locked="0"/>
    </xf>
    <xf numFmtId="0" fontId="0" fillId="14" borderId="0" xfId="0" applyFill="1" applyProtection="1">
      <protection hidden="1"/>
    </xf>
    <xf numFmtId="0" fontId="27" fillId="15" borderId="52" xfId="0" applyFont="1" applyFill="1" applyBorder="1" applyAlignment="1" applyProtection="1">
      <alignment horizontal="center" vertical="center"/>
      <protection hidden="1"/>
    </xf>
    <xf numFmtId="0" fontId="27" fillId="15" borderId="53" xfId="0" applyFont="1" applyFill="1" applyBorder="1" applyAlignment="1" applyProtection="1">
      <alignment horizontal="center" vertical="center"/>
      <protection hidden="1"/>
    </xf>
    <xf numFmtId="0" fontId="27" fillId="24" borderId="53" xfId="0" applyFont="1" applyFill="1" applyBorder="1" applyAlignment="1" applyProtection="1">
      <alignment horizontal="center" vertical="center" wrapText="1"/>
      <protection hidden="1"/>
    </xf>
    <xf numFmtId="0" fontId="27" fillId="24" borderId="53" xfId="0" applyFont="1" applyFill="1" applyBorder="1" applyAlignment="1" applyProtection="1">
      <alignment horizontal="center" vertical="center"/>
      <protection hidden="1"/>
    </xf>
    <xf numFmtId="0" fontId="27" fillId="15" borderId="56" xfId="0" applyFont="1" applyFill="1" applyBorder="1" applyAlignment="1" applyProtection="1">
      <alignment horizontal="center" vertical="center"/>
      <protection hidden="1"/>
    </xf>
    <xf numFmtId="0" fontId="9" fillId="6" borderId="57" xfId="0" applyFont="1" applyFill="1" applyBorder="1" applyAlignment="1" applyProtection="1">
      <alignment horizontal="center" vertical="center"/>
      <protection hidden="1"/>
    </xf>
    <xf numFmtId="0" fontId="71" fillId="12" borderId="0" xfId="0" applyFont="1" applyFill="1" applyProtection="1">
      <protection hidden="1"/>
    </xf>
    <xf numFmtId="0" fontId="2" fillId="0" borderId="58" xfId="0" applyFont="1" applyBorder="1" applyProtection="1">
      <protection locked="0" hidden="1"/>
    </xf>
    <xf numFmtId="0" fontId="2" fillId="6" borderId="50" xfId="0" applyFont="1" applyFill="1" applyBorder="1" applyProtection="1">
      <protection hidden="1"/>
    </xf>
    <xf numFmtId="0" fontId="2" fillId="0" borderId="50" xfId="0" applyFont="1" applyBorder="1" applyProtection="1">
      <protection locked="0" hidden="1"/>
    </xf>
    <xf numFmtId="3" fontId="2" fillId="0" borderId="50" xfId="0" applyNumberFormat="1" applyFont="1" applyBorder="1" applyProtection="1">
      <protection locked="0"/>
    </xf>
    <xf numFmtId="180" fontId="20" fillId="0" borderId="61" xfId="2" applyNumberFormat="1" applyFont="1" applyBorder="1" applyAlignment="1" applyProtection="1">
      <alignment horizontal="right"/>
      <protection locked="0"/>
    </xf>
    <xf numFmtId="0" fontId="2" fillId="0" borderId="62" xfId="0" applyFont="1" applyBorder="1" applyProtection="1">
      <protection locked="0" hidden="1"/>
    </xf>
    <xf numFmtId="0" fontId="2" fillId="6" borderId="48" xfId="0" applyFont="1" applyFill="1" applyBorder="1" applyProtection="1">
      <protection hidden="1"/>
    </xf>
    <xf numFmtId="0" fontId="2" fillId="0" borderId="48" xfId="0" applyFont="1" applyBorder="1" applyProtection="1">
      <protection locked="0" hidden="1"/>
    </xf>
    <xf numFmtId="3" fontId="2" fillId="0" borderId="48" xfId="0" applyNumberFormat="1" applyFont="1" applyBorder="1" applyProtection="1">
      <protection locked="0"/>
    </xf>
    <xf numFmtId="180" fontId="20" fillId="0" borderId="63" xfId="2" applyNumberFormat="1" applyFont="1" applyBorder="1" applyAlignment="1" applyProtection="1">
      <alignment horizontal="right"/>
      <protection locked="0"/>
    </xf>
    <xf numFmtId="3" fontId="2" fillId="0" borderId="64" xfId="0" applyNumberFormat="1" applyFont="1" applyBorder="1" applyProtection="1">
      <protection locked="0"/>
    </xf>
    <xf numFmtId="180" fontId="20" fillId="0" borderId="65" xfId="2" applyNumberFormat="1" applyFont="1" applyBorder="1" applyAlignment="1" applyProtection="1">
      <alignment horizontal="right"/>
      <protection locked="0"/>
    </xf>
    <xf numFmtId="0" fontId="2" fillId="6" borderId="64" xfId="0" applyFont="1" applyFill="1" applyBorder="1" applyProtection="1">
      <protection hidden="1"/>
    </xf>
    <xf numFmtId="0" fontId="2" fillId="6" borderId="52" xfId="0" applyFont="1" applyFill="1" applyBorder="1" applyProtection="1">
      <protection hidden="1"/>
    </xf>
    <xf numFmtId="0" fontId="2" fillId="6" borderId="53" xfId="0" applyFont="1" applyFill="1" applyBorder="1" applyProtection="1">
      <protection hidden="1"/>
    </xf>
    <xf numFmtId="0" fontId="9" fillId="6" borderId="53" xfId="0" applyFont="1" applyFill="1" applyBorder="1" applyProtection="1">
      <protection hidden="1"/>
    </xf>
    <xf numFmtId="3" fontId="9" fillId="6" borderId="53" xfId="0" applyNumberFormat="1" applyFont="1" applyFill="1" applyBorder="1" applyProtection="1">
      <protection hidden="1"/>
    </xf>
    <xf numFmtId="0" fontId="27" fillId="15" borderId="53" xfId="0" applyFont="1" applyFill="1" applyBorder="1" applyAlignment="1" applyProtection="1">
      <alignment horizontal="center" vertical="center" wrapText="1"/>
      <protection hidden="1"/>
    </xf>
    <xf numFmtId="0" fontId="72" fillId="2" borderId="56" xfId="0" applyFont="1" applyFill="1" applyBorder="1" applyAlignment="1" applyProtection="1">
      <alignment horizontal="center" vertical="center"/>
      <protection hidden="1"/>
    </xf>
    <xf numFmtId="170" fontId="9" fillId="0" borderId="48" xfId="2" applyNumberFormat="1" applyFont="1" applyBorder="1" applyAlignment="1" applyProtection="1">
      <alignment horizontal="center" vertical="center"/>
      <protection hidden="1"/>
    </xf>
    <xf numFmtId="0" fontId="2" fillId="0" borderId="58" xfId="0" applyFont="1" applyBorder="1" applyProtection="1">
      <protection locked="0"/>
    </xf>
    <xf numFmtId="0" fontId="2" fillId="0" borderId="50" xfId="0" applyFont="1" applyBorder="1" applyProtection="1">
      <protection locked="0"/>
    </xf>
    <xf numFmtId="3" fontId="70" fillId="0" borderId="61" xfId="0" applyNumberFormat="1" applyFont="1" applyBorder="1"/>
    <xf numFmtId="0" fontId="2" fillId="0" borderId="62" xfId="0" applyFont="1" applyBorder="1" applyProtection="1">
      <protection locked="0"/>
    </xf>
    <xf numFmtId="0" fontId="2" fillId="0" borderId="48" xfId="0" applyFont="1" applyBorder="1" applyProtection="1">
      <protection locked="0"/>
    </xf>
    <xf numFmtId="3" fontId="70" fillId="0" borderId="63" xfId="0" applyNumberFormat="1" applyFont="1" applyBorder="1"/>
    <xf numFmtId="0" fontId="2" fillId="0" borderId="66" xfId="0" applyFont="1" applyBorder="1" applyProtection="1">
      <protection locked="0"/>
    </xf>
    <xf numFmtId="0" fontId="2" fillId="0" borderId="64" xfId="0" applyFont="1" applyBorder="1" applyProtection="1">
      <protection locked="0"/>
    </xf>
    <xf numFmtId="3" fontId="70" fillId="0" borderId="65" xfId="0" applyNumberFormat="1" applyFont="1" applyBorder="1"/>
    <xf numFmtId="0" fontId="2" fillId="17" borderId="52" xfId="0" applyFont="1" applyFill="1" applyBorder="1" applyProtection="1">
      <protection hidden="1"/>
    </xf>
    <xf numFmtId="0" fontId="2" fillId="17" borderId="53" xfId="0" applyFont="1" applyFill="1" applyBorder="1" applyProtection="1">
      <protection hidden="1"/>
    </xf>
    <xf numFmtId="0" fontId="9" fillId="17" borderId="53" xfId="0" applyFont="1" applyFill="1" applyBorder="1" applyProtection="1">
      <protection hidden="1"/>
    </xf>
    <xf numFmtId="3" fontId="9" fillId="17" borderId="53" xfId="0" applyNumberFormat="1" applyFont="1" applyFill="1" applyBorder="1" applyProtection="1">
      <protection hidden="1"/>
    </xf>
    <xf numFmtId="0" fontId="0" fillId="2" borderId="0" xfId="0" applyFill="1"/>
    <xf numFmtId="170" fontId="2" fillId="14" borderId="0" xfId="2" applyNumberFormat="1" applyFont="1" applyFill="1" applyProtection="1">
      <protection locked="0"/>
    </xf>
    <xf numFmtId="170" fontId="2" fillId="14" borderId="0" xfId="2" applyNumberFormat="1" applyFont="1" applyFill="1"/>
    <xf numFmtId="170" fontId="2" fillId="0" borderId="0" xfId="2" applyNumberFormat="1" applyFont="1"/>
    <xf numFmtId="0" fontId="2" fillId="17" borderId="0" xfId="0" applyFont="1" applyFill="1"/>
    <xf numFmtId="170" fontId="2" fillId="14" borderId="0" xfId="2" applyNumberFormat="1" applyFont="1" applyFill="1" applyAlignment="1" applyProtection="1">
      <alignment horizontal="center"/>
      <protection locked="0"/>
    </xf>
    <xf numFmtId="170" fontId="2" fillId="12" borderId="0" xfId="2" applyNumberFormat="1" applyFont="1" applyFill="1"/>
    <xf numFmtId="170" fontId="2" fillId="14" borderId="57" xfId="2" applyNumberFormat="1" applyFont="1" applyFill="1" applyBorder="1" applyProtection="1">
      <protection locked="0"/>
    </xf>
    <xf numFmtId="170" fontId="2" fillId="0" borderId="0" xfId="2" applyNumberFormat="1" applyFont="1" applyProtection="1">
      <protection locked="0"/>
    </xf>
    <xf numFmtId="0" fontId="2" fillId="9" borderId="0" xfId="0" applyFont="1" applyFill="1"/>
    <xf numFmtId="0" fontId="2" fillId="26" borderId="0" xfId="0" applyFont="1" applyFill="1"/>
    <xf numFmtId="0" fontId="2" fillId="14" borderId="1" xfId="0" applyFont="1" applyFill="1" applyBorder="1"/>
    <xf numFmtId="0" fontId="2" fillId="26" borderId="1" xfId="0" applyFont="1" applyFill="1" applyBorder="1" applyProtection="1">
      <protection locked="0"/>
    </xf>
    <xf numFmtId="0" fontId="2" fillId="14" borderId="1" xfId="0" applyFont="1" applyFill="1" applyBorder="1" applyProtection="1">
      <protection locked="0"/>
    </xf>
    <xf numFmtId="0" fontId="2" fillId="27" borderId="1" xfId="0" applyFont="1" applyFill="1" applyBorder="1" applyProtection="1">
      <protection locked="0"/>
    </xf>
    <xf numFmtId="0" fontId="2" fillId="9" borderId="1" xfId="0" applyFont="1" applyFill="1" applyBorder="1" applyProtection="1">
      <protection locked="0"/>
    </xf>
    <xf numFmtId="0" fontId="2" fillId="28" borderId="0" xfId="0" applyFont="1" applyFill="1"/>
    <xf numFmtId="0" fontId="2" fillId="17" borderId="1" xfId="0" applyFont="1" applyFill="1" applyBorder="1" applyProtection="1">
      <protection locked="0"/>
    </xf>
    <xf numFmtId="0" fontId="2" fillId="27" borderId="0" xfId="0" applyFont="1" applyFill="1"/>
    <xf numFmtId="0" fontId="2" fillId="28" borderId="1" xfId="0" applyFont="1" applyFill="1" applyBorder="1"/>
    <xf numFmtId="0" fontId="2" fillId="27" borderId="1" xfId="0" applyFont="1" applyFill="1" applyBorder="1"/>
    <xf numFmtId="14" fontId="2" fillId="14" borderId="0" xfId="0" applyNumberFormat="1" applyFont="1" applyFill="1"/>
    <xf numFmtId="0" fontId="19" fillId="14" borderId="0" xfId="0" applyFont="1" applyFill="1" applyProtection="1">
      <protection hidden="1"/>
    </xf>
    <xf numFmtId="3" fontId="29" fillId="14" borderId="0" xfId="0" applyNumberFormat="1" applyFont="1" applyFill="1" applyAlignment="1" applyProtection="1">
      <alignment horizontal="left"/>
      <protection hidden="1"/>
    </xf>
    <xf numFmtId="3" fontId="19" fillId="14" borderId="0" xfId="0" applyNumberFormat="1" applyFont="1" applyFill="1"/>
    <xf numFmtId="0" fontId="21" fillId="17" borderId="0" xfId="0" applyFont="1" applyFill="1"/>
    <xf numFmtId="0" fontId="19" fillId="14" borderId="0" xfId="0" applyFont="1" applyFill="1" applyAlignment="1">
      <alignment horizontal="center"/>
    </xf>
    <xf numFmtId="170" fontId="19" fillId="14" borderId="0" xfId="2" applyNumberFormat="1" applyFont="1" applyFill="1" applyAlignment="1" applyProtection="1">
      <alignment horizontal="center"/>
      <protection locked="0"/>
    </xf>
    <xf numFmtId="170" fontId="19" fillId="14" borderId="0" xfId="2" applyNumberFormat="1" applyFont="1" applyFill="1" applyAlignment="1">
      <alignment horizontal="center"/>
    </xf>
    <xf numFmtId="170" fontId="19" fillId="0" borderId="0" xfId="2" applyNumberFormat="1" applyFont="1" applyAlignment="1">
      <alignment horizontal="center"/>
    </xf>
    <xf numFmtId="9" fontId="20" fillId="14" borderId="48" xfId="8" applyFont="1" applyFill="1" applyBorder="1" applyProtection="1"/>
    <xf numFmtId="170" fontId="20" fillId="14" borderId="1" xfId="2" applyNumberFormat="1" applyFont="1" applyFill="1" applyBorder="1"/>
    <xf numFmtId="170" fontId="20" fillId="14" borderId="0" xfId="0" applyNumberFormat="1" applyFont="1" applyFill="1"/>
    <xf numFmtId="0" fontId="21" fillId="14" borderId="0" xfId="0" applyFont="1" applyFill="1" applyProtection="1">
      <protection locked="0"/>
    </xf>
    <xf numFmtId="170" fontId="21" fillId="14" borderId="0" xfId="0" applyNumberFormat="1" applyFont="1" applyFill="1"/>
    <xf numFmtId="170" fontId="21" fillId="14" borderId="1" xfId="2" applyNumberFormat="1" applyFont="1" applyFill="1" applyBorder="1"/>
    <xf numFmtId="0" fontId="21" fillId="14" borderId="0" xfId="0" applyFont="1" applyFill="1"/>
    <xf numFmtId="0" fontId="21" fillId="14" borderId="1" xfId="0" applyFont="1" applyFill="1" applyBorder="1"/>
    <xf numFmtId="0" fontId="28" fillId="14" borderId="0" xfId="0" applyFont="1" applyFill="1" applyProtection="1">
      <protection hidden="1"/>
    </xf>
    <xf numFmtId="0" fontId="28" fillId="14" borderId="0" xfId="0" applyFont="1" applyFill="1"/>
    <xf numFmtId="0" fontId="73" fillId="14" borderId="0" xfId="0" applyFont="1" applyFill="1"/>
    <xf numFmtId="181" fontId="77" fillId="0" borderId="0" xfId="6" applyNumberFormat="1" applyFont="1" applyProtection="1"/>
    <xf numFmtId="0" fontId="46" fillId="14" borderId="0" xfId="0" applyFont="1" applyFill="1" applyProtection="1">
      <protection hidden="1"/>
    </xf>
    <xf numFmtId="181" fontId="8" fillId="0" borderId="0" xfId="6" applyNumberFormat="1" applyFont="1" applyProtection="1">
      <protection locked="0"/>
    </xf>
    <xf numFmtId="181" fontId="8" fillId="0" borderId="0" xfId="6" applyNumberFormat="1" applyFont="1" applyFill="1" applyProtection="1">
      <protection locked="0"/>
    </xf>
    <xf numFmtId="181" fontId="8" fillId="14" borderId="0" xfId="6" applyNumberFormat="1" applyFont="1" applyFill="1" applyProtection="1">
      <protection locked="0"/>
    </xf>
    <xf numFmtId="181" fontId="2" fillId="0" borderId="0" xfId="6" applyNumberFormat="1" applyFont="1" applyProtection="1">
      <protection locked="0"/>
    </xf>
    <xf numFmtId="181" fontId="2" fillId="0" borderId="0" xfId="6" applyNumberFormat="1" applyFont="1" applyFill="1" applyProtection="1">
      <protection locked="0"/>
    </xf>
    <xf numFmtId="181" fontId="2" fillId="14" borderId="0" xfId="6" applyNumberFormat="1" applyFont="1" applyFill="1" applyProtection="1">
      <protection locked="0"/>
    </xf>
    <xf numFmtId="181" fontId="19" fillId="0" borderId="0" xfId="6" applyNumberFormat="1" applyFont="1" applyBorder="1" applyProtection="1"/>
    <xf numFmtId="181" fontId="2" fillId="0" borderId="9" xfId="6" applyNumberFormat="1" applyFont="1" applyBorder="1" applyProtection="1">
      <protection locked="0"/>
    </xf>
    <xf numFmtId="0" fontId="2" fillId="0" borderId="9" xfId="0" applyFont="1" applyBorder="1"/>
    <xf numFmtId="181" fontId="64" fillId="0" borderId="0" xfId="6" applyNumberFormat="1" applyFont="1" applyProtection="1">
      <protection locked="0"/>
    </xf>
    <xf numFmtId="181" fontId="8" fillId="0" borderId="0" xfId="6" applyNumberFormat="1" applyFont="1" applyProtection="1"/>
    <xf numFmtId="181" fontId="2" fillId="0" borderId="0" xfId="6" applyNumberFormat="1" applyFont="1" applyProtection="1"/>
    <xf numFmtId="181" fontId="2" fillId="0" borderId="0" xfId="6" applyNumberFormat="1" applyFont="1" applyBorder="1" applyAlignment="1" applyProtection="1">
      <alignment horizontal="center" wrapText="1"/>
    </xf>
    <xf numFmtId="181" fontId="2" fillId="0" borderId="0" xfId="6" applyNumberFormat="1" applyFont="1" applyFill="1" applyProtection="1"/>
    <xf numFmtId="181" fontId="2" fillId="14" borderId="0" xfId="6" applyNumberFormat="1" applyFont="1" applyFill="1" applyProtection="1"/>
    <xf numFmtId="0" fontId="20" fillId="14" borderId="0" xfId="0" applyFont="1" applyFill="1" applyProtection="1">
      <protection hidden="1"/>
    </xf>
    <xf numFmtId="0" fontId="29" fillId="0" borderId="0" xfId="0" applyFont="1"/>
    <xf numFmtId="3" fontId="9" fillId="16" borderId="67" xfId="6" applyNumberFormat="1" applyFont="1" applyFill="1" applyBorder="1" applyAlignment="1" applyProtection="1">
      <alignment horizontal="center" vertical="center" wrapText="1"/>
    </xf>
    <xf numFmtId="181" fontId="19" fillId="0" borderId="0" xfId="6" applyNumberFormat="1" applyFont="1" applyProtection="1"/>
    <xf numFmtId="3" fontId="2" fillId="0" borderId="67" xfId="2" applyNumberFormat="1" applyFont="1" applyFill="1" applyBorder="1" applyProtection="1">
      <protection locked="0"/>
    </xf>
    <xf numFmtId="170" fontId="9" fillId="17" borderId="67" xfId="2" applyNumberFormat="1" applyFont="1" applyFill="1" applyBorder="1" applyAlignment="1" applyProtection="1">
      <alignment horizontal="left" wrapText="1"/>
    </xf>
    <xf numFmtId="0" fontId="27" fillId="15" borderId="68" xfId="0" applyFont="1" applyFill="1" applyBorder="1" applyAlignment="1">
      <alignment horizontal="center" vertical="center" wrapText="1"/>
    </xf>
    <xf numFmtId="0" fontId="27" fillId="24" borderId="68" xfId="0" applyFont="1" applyFill="1" applyBorder="1" applyAlignment="1">
      <alignment horizontal="center" vertical="center" wrapText="1"/>
    </xf>
    <xf numFmtId="0" fontId="28" fillId="24" borderId="68" xfId="0" applyFont="1" applyFill="1" applyBorder="1" applyAlignment="1">
      <alignment horizontal="center" vertical="center" wrapText="1"/>
    </xf>
    <xf numFmtId="15" fontId="2" fillId="0" borderId="69" xfId="6" applyNumberFormat="1" applyFont="1" applyBorder="1" applyProtection="1">
      <protection locked="0"/>
    </xf>
    <xf numFmtId="14" fontId="2" fillId="0" borderId="69" xfId="0" applyNumberFormat="1" applyFont="1" applyBorder="1" applyProtection="1">
      <protection locked="0"/>
    </xf>
    <xf numFmtId="3" fontId="2" fillId="0" borderId="69" xfId="6" applyNumberFormat="1" applyFont="1" applyBorder="1" applyAlignment="1" applyProtection="1">
      <alignment horizontal="right"/>
      <protection locked="0"/>
    </xf>
    <xf numFmtId="3" fontId="2" fillId="12" borderId="69" xfId="6" applyNumberFormat="1" applyFont="1" applyFill="1" applyBorder="1" applyAlignment="1" applyProtection="1">
      <alignment horizontal="right"/>
    </xf>
    <xf numFmtId="3" fontId="19" fillId="0" borderId="69" xfId="6" applyNumberFormat="1" applyFont="1" applyBorder="1" applyAlignment="1" applyProtection="1">
      <alignment horizontal="right"/>
      <protection locked="0"/>
    </xf>
    <xf numFmtId="3" fontId="9" fillId="11" borderId="70" xfId="6" applyNumberFormat="1" applyFont="1" applyFill="1" applyBorder="1" applyAlignment="1" applyProtection="1">
      <alignment horizontal="right"/>
    </xf>
    <xf numFmtId="15" fontId="2" fillId="0" borderId="71" xfId="6" applyNumberFormat="1" applyFont="1" applyBorder="1" applyProtection="1">
      <protection locked="0"/>
    </xf>
    <xf numFmtId="14" fontId="2" fillId="0" borderId="71" xfId="0" applyNumberFormat="1" applyFont="1" applyBorder="1" applyProtection="1">
      <protection locked="0"/>
    </xf>
    <xf numFmtId="3" fontId="2" fillId="0" borderId="71" xfId="6" applyNumberFormat="1" applyFont="1" applyBorder="1" applyAlignment="1" applyProtection="1">
      <alignment horizontal="right"/>
      <protection locked="0"/>
    </xf>
    <xf numFmtId="3" fontId="2" fillId="12" borderId="71" xfId="6" applyNumberFormat="1" applyFont="1" applyFill="1" applyBorder="1" applyAlignment="1" applyProtection="1">
      <alignment horizontal="right"/>
    </xf>
    <xf numFmtId="3" fontId="19" fillId="0" borderId="71" xfId="6" applyNumberFormat="1" applyFont="1" applyBorder="1" applyAlignment="1" applyProtection="1">
      <alignment horizontal="right"/>
      <protection locked="0"/>
    </xf>
    <xf numFmtId="3" fontId="2" fillId="0" borderId="71" xfId="6" applyNumberFormat="1" applyFont="1" applyBorder="1" applyAlignment="1" applyProtection="1">
      <alignment horizontal="right"/>
    </xf>
    <xf numFmtId="15" fontId="2" fillId="0" borderId="72" xfId="6" applyNumberFormat="1" applyFont="1" applyBorder="1" applyProtection="1">
      <protection locked="0"/>
    </xf>
    <xf numFmtId="14" fontId="2" fillId="0" borderId="72" xfId="0" applyNumberFormat="1" applyFont="1" applyBorder="1" applyProtection="1">
      <protection locked="0"/>
    </xf>
    <xf numFmtId="3" fontId="2" fillId="0" borderId="72" xfId="6" applyNumberFormat="1" applyFont="1" applyBorder="1" applyAlignment="1" applyProtection="1">
      <alignment horizontal="right"/>
      <protection locked="0"/>
    </xf>
    <xf numFmtId="3" fontId="2" fillId="0" borderId="72" xfId="6" applyNumberFormat="1" applyFont="1" applyBorder="1" applyAlignment="1" applyProtection="1">
      <alignment horizontal="right"/>
    </xf>
    <xf numFmtId="0" fontId="19" fillId="0" borderId="72" xfId="0" applyFont="1" applyBorder="1" applyProtection="1">
      <protection locked="0"/>
    </xf>
    <xf numFmtId="0" fontId="2" fillId="0" borderId="72" xfId="0" applyFont="1" applyBorder="1" applyProtection="1">
      <protection locked="0"/>
    </xf>
    <xf numFmtId="3" fontId="9" fillId="6" borderId="1" xfId="6" applyNumberFormat="1" applyFont="1" applyFill="1" applyBorder="1"/>
    <xf numFmtId="3" fontId="9" fillId="6" borderId="1" xfId="6" applyNumberFormat="1" applyFont="1" applyFill="1" applyBorder="1" applyProtection="1"/>
    <xf numFmtId="14" fontId="2" fillId="0" borderId="0" xfId="0" applyNumberFormat="1" applyFont="1"/>
    <xf numFmtId="182" fontId="2" fillId="0" borderId="0" xfId="6" applyNumberFormat="1" applyFont="1" applyBorder="1"/>
    <xf numFmtId="3" fontId="2" fillId="0" borderId="0" xfId="6" applyNumberFormat="1" applyFont="1" applyBorder="1"/>
    <xf numFmtId="3" fontId="2" fillId="0" borderId="0" xfId="6" applyNumberFormat="1" applyFont="1" applyBorder="1" applyProtection="1"/>
    <xf numFmtId="170" fontId="2" fillId="11" borderId="1" xfId="2" applyNumberFormat="1" applyFont="1" applyFill="1" applyBorder="1" applyProtection="1"/>
    <xf numFmtId="170" fontId="19" fillId="11" borderId="1" xfId="2" applyNumberFormat="1" applyFont="1" applyFill="1" applyBorder="1" applyProtection="1"/>
    <xf numFmtId="170" fontId="9" fillId="17" borderId="1" xfId="2" applyNumberFormat="1" applyFont="1" applyFill="1" applyBorder="1" applyProtection="1"/>
    <xf numFmtId="181" fontId="64" fillId="24" borderId="1" xfId="6" applyNumberFormat="1" applyFont="1" applyFill="1" applyBorder="1" applyProtection="1"/>
    <xf numFmtId="181" fontId="66" fillId="29" borderId="1" xfId="6" applyNumberFormat="1" applyFont="1" applyFill="1" applyBorder="1" applyProtection="1"/>
    <xf numFmtId="181" fontId="64" fillId="0" borderId="0" xfId="6" applyNumberFormat="1" applyFont="1" applyAlignment="1" applyProtection="1">
      <alignment horizontal="left"/>
      <protection locked="0"/>
    </xf>
    <xf numFmtId="181" fontId="79" fillId="0" borderId="0" xfId="6" applyNumberFormat="1" applyFont="1" applyBorder="1" applyProtection="1"/>
    <xf numFmtId="0" fontId="80" fillId="0" borderId="0" xfId="0" applyFont="1" applyAlignment="1">
      <alignment horizontal="center" vertical="top" wrapText="1"/>
    </xf>
    <xf numFmtId="0" fontId="80" fillId="0" borderId="0" xfId="0" applyFont="1" applyAlignment="1">
      <alignment horizontal="left" vertical="top" wrapText="1"/>
    </xf>
    <xf numFmtId="173" fontId="0" fillId="0" borderId="0" xfId="15" applyNumberFormat="1" applyFont="1"/>
    <xf numFmtId="0" fontId="8" fillId="0" borderId="0" xfId="0" applyFont="1" applyAlignment="1">
      <alignment horizontal="center" vertical="top" wrapText="1"/>
    </xf>
    <xf numFmtId="0" fontId="78" fillId="15" borderId="68" xfId="0" applyFont="1" applyFill="1" applyBorder="1" applyAlignment="1">
      <alignment horizontal="center" vertical="center" wrapText="1"/>
    </xf>
    <xf numFmtId="181" fontId="2" fillId="16" borderId="73" xfId="6" applyNumberFormat="1" applyFont="1" applyFill="1" applyBorder="1" applyProtection="1"/>
    <xf numFmtId="170" fontId="64" fillId="0" borderId="74" xfId="15" applyNumberFormat="1" applyFont="1" applyBorder="1" applyProtection="1">
      <protection locked="0"/>
    </xf>
    <xf numFmtId="10" fontId="2" fillId="16" borderId="74" xfId="0" applyNumberFormat="1" applyFont="1" applyFill="1" applyBorder="1"/>
    <xf numFmtId="10" fontId="2" fillId="0" borderId="74" xfId="0" applyNumberFormat="1" applyFont="1" applyBorder="1" applyProtection="1">
      <protection locked="0"/>
    </xf>
    <xf numFmtId="181" fontId="2" fillId="16" borderId="75" xfId="6" applyNumberFormat="1" applyFont="1" applyFill="1" applyBorder="1" applyProtection="1"/>
    <xf numFmtId="170" fontId="64" fillId="0" borderId="76" xfId="15" applyNumberFormat="1" applyFont="1" applyBorder="1" applyProtection="1">
      <protection locked="0"/>
    </xf>
    <xf numFmtId="10" fontId="2" fillId="0" borderId="76" xfId="0" applyNumberFormat="1" applyFont="1" applyBorder="1" applyProtection="1">
      <protection locked="0"/>
    </xf>
    <xf numFmtId="181" fontId="2" fillId="16" borderId="78" xfId="6" applyNumberFormat="1" applyFont="1" applyFill="1" applyBorder="1" applyProtection="1"/>
    <xf numFmtId="10" fontId="2" fillId="30" borderId="76" xfId="0" applyNumberFormat="1" applyFont="1" applyFill="1" applyBorder="1"/>
    <xf numFmtId="0" fontId="9" fillId="16" borderId="79" xfId="0" applyFont="1" applyFill="1" applyBorder="1" applyAlignment="1">
      <alignment horizontal="center" vertical="top" wrapText="1"/>
    </xf>
    <xf numFmtId="170" fontId="9" fillId="16" borderId="80" xfId="0" applyNumberFormat="1" applyFont="1" applyFill="1" applyBorder="1" applyAlignment="1">
      <alignment horizontal="center" vertical="top" wrapText="1"/>
    </xf>
    <xf numFmtId="170" fontId="2" fillId="16" borderId="80" xfId="0" applyNumberFormat="1" applyFont="1" applyFill="1" applyBorder="1" applyAlignment="1">
      <alignment horizontal="center" vertical="top" wrapText="1"/>
    </xf>
    <xf numFmtId="0" fontId="0" fillId="0" borderId="0" xfId="0" applyProtection="1">
      <protection locked="0"/>
    </xf>
    <xf numFmtId="173" fontId="0" fillId="0" borderId="0" xfId="0" applyNumberFormat="1" applyProtection="1">
      <protection locked="0"/>
    </xf>
    <xf numFmtId="181" fontId="2" fillId="16" borderId="81" xfId="6" applyNumberFormat="1" applyFont="1" applyFill="1" applyBorder="1" applyProtection="1"/>
    <xf numFmtId="170" fontId="64" fillId="0" borderId="82" xfId="15" applyNumberFormat="1" applyFont="1" applyBorder="1" applyProtection="1">
      <protection locked="0"/>
    </xf>
    <xf numFmtId="10" fontId="2" fillId="14" borderId="82" xfId="0" applyNumberFormat="1" applyFont="1" applyFill="1" applyBorder="1" applyProtection="1">
      <protection locked="0"/>
    </xf>
    <xf numFmtId="10" fontId="2" fillId="14" borderId="76" xfId="0" applyNumberFormat="1" applyFont="1" applyFill="1" applyBorder="1" applyProtection="1">
      <protection locked="0"/>
    </xf>
    <xf numFmtId="181" fontId="2" fillId="16" borderId="83" xfId="6" applyNumberFormat="1" applyFont="1" applyFill="1" applyBorder="1" applyProtection="1"/>
    <xf numFmtId="170" fontId="64" fillId="0" borderId="77" xfId="15" applyNumberFormat="1" applyFont="1" applyBorder="1" applyProtection="1">
      <protection locked="0"/>
    </xf>
    <xf numFmtId="10" fontId="2" fillId="14" borderId="77" xfId="0" applyNumberFormat="1" applyFont="1" applyFill="1" applyBorder="1" applyProtection="1">
      <protection locked="0"/>
    </xf>
    <xf numFmtId="181" fontId="74" fillId="0" borderId="0" xfId="6" applyNumberFormat="1" applyFont="1" applyAlignment="1" applyProtection="1">
      <alignment horizontal="center"/>
      <protection locked="0"/>
    </xf>
    <xf numFmtId="173" fontId="20" fillId="14" borderId="0" xfId="15" applyNumberFormat="1" applyFont="1" applyFill="1" applyBorder="1"/>
    <xf numFmtId="181" fontId="8" fillId="14" borderId="0" xfId="6" applyNumberFormat="1" applyFont="1" applyFill="1" applyBorder="1" applyAlignment="1" applyProtection="1">
      <alignment horizontal="left"/>
    </xf>
    <xf numFmtId="181" fontId="8" fillId="2" borderId="0" xfId="6" applyNumberFormat="1" applyFont="1" applyFill="1" applyProtection="1">
      <protection locked="0"/>
    </xf>
    <xf numFmtId="181" fontId="64" fillId="2" borderId="0" xfId="6" applyNumberFormat="1" applyFont="1" applyFill="1" applyProtection="1">
      <protection locked="0"/>
    </xf>
    <xf numFmtId="181" fontId="78" fillId="31" borderId="1" xfId="6" applyNumberFormat="1" applyFont="1" applyFill="1" applyBorder="1" applyAlignment="1" applyProtection="1">
      <alignment horizontal="center"/>
    </xf>
    <xf numFmtId="181" fontId="78" fillId="31" borderId="1" xfId="6" applyNumberFormat="1" applyFont="1" applyFill="1" applyBorder="1" applyAlignment="1" applyProtection="1">
      <alignment horizontal="center"/>
      <protection locked="0"/>
    </xf>
    <xf numFmtId="181" fontId="8" fillId="16" borderId="17" xfId="6" applyNumberFormat="1" applyFont="1" applyFill="1" applyBorder="1" applyProtection="1"/>
    <xf numFmtId="181" fontId="8" fillId="16" borderId="9" xfId="6" applyNumberFormat="1" applyFont="1" applyFill="1" applyBorder="1" applyProtection="1"/>
    <xf numFmtId="181" fontId="8" fillId="16" borderId="7" xfId="6" applyNumberFormat="1" applyFont="1" applyFill="1" applyBorder="1" applyProtection="1"/>
    <xf numFmtId="170" fontId="3" fillId="16" borderId="2" xfId="2" applyNumberFormat="1" applyFont="1" applyFill="1" applyBorder="1" applyProtection="1"/>
    <xf numFmtId="170" fontId="3" fillId="16" borderId="0" xfId="2" applyNumberFormat="1" applyFont="1" applyFill="1" applyProtection="1"/>
    <xf numFmtId="181" fontId="8" fillId="16" borderId="3" xfId="6" applyNumberFormat="1" applyFont="1" applyFill="1" applyBorder="1" applyProtection="1"/>
    <xf numFmtId="181" fontId="8" fillId="16" borderId="4" xfId="6" applyNumberFormat="1" applyFont="1" applyFill="1" applyBorder="1" applyProtection="1"/>
    <xf numFmtId="181" fontId="8" fillId="16" borderId="8" xfId="6" applyNumberFormat="1" applyFont="1" applyFill="1" applyBorder="1" applyProtection="1"/>
    <xf numFmtId="170" fontId="3" fillId="16" borderId="1" xfId="2" applyNumberFormat="1" applyFont="1" applyFill="1" applyBorder="1" applyProtection="1"/>
    <xf numFmtId="170" fontId="75" fillId="16" borderId="1" xfId="2" applyNumberFormat="1" applyFont="1" applyFill="1" applyBorder="1" applyProtection="1"/>
    <xf numFmtId="170" fontId="75" fillId="16" borderId="3" xfId="2" applyNumberFormat="1" applyFont="1" applyFill="1" applyBorder="1" applyProtection="1"/>
    <xf numFmtId="181" fontId="64" fillId="0" borderId="0" xfId="6" applyNumberFormat="1" applyFont="1" applyProtection="1"/>
    <xf numFmtId="181" fontId="78" fillId="14" borderId="0" xfId="6" applyNumberFormat="1" applyFont="1" applyFill="1" applyBorder="1" applyProtection="1"/>
    <xf numFmtId="181" fontId="76" fillId="0" borderId="0" xfId="6" applyNumberFormat="1" applyFont="1" applyBorder="1" applyProtection="1"/>
    <xf numFmtId="173" fontId="0" fillId="0" borderId="0" xfId="15" applyNumberFormat="1" applyFont="1" applyFill="1"/>
    <xf numFmtId="0" fontId="28" fillId="15" borderId="68" xfId="0" applyFont="1" applyFill="1" applyBorder="1" applyAlignment="1">
      <alignment horizontal="center" vertical="center" wrapText="1"/>
    </xf>
    <xf numFmtId="170" fontId="2" fillId="0" borderId="76" xfId="15" applyNumberFormat="1" applyFont="1" applyBorder="1" applyProtection="1"/>
    <xf numFmtId="170" fontId="2" fillId="0" borderId="76" xfId="15" applyNumberFormat="1" applyFont="1" applyBorder="1" applyProtection="1">
      <protection locked="0"/>
    </xf>
    <xf numFmtId="10" fontId="2" fillId="30" borderId="76" xfId="0" applyNumberFormat="1" applyFont="1" applyFill="1" applyBorder="1" applyProtection="1">
      <protection locked="0"/>
    </xf>
    <xf numFmtId="170" fontId="2" fillId="16" borderId="76" xfId="15" applyNumberFormat="1" applyFont="1" applyFill="1" applyBorder="1" applyProtection="1">
      <protection locked="0"/>
    </xf>
    <xf numFmtId="170" fontId="2" fillId="0" borderId="77" xfId="15" applyNumberFormat="1" applyFont="1" applyBorder="1" applyProtection="1">
      <protection locked="0"/>
    </xf>
    <xf numFmtId="181" fontId="64" fillId="14" borderId="0" xfId="6" applyNumberFormat="1" applyFont="1" applyFill="1" applyBorder="1" applyProtection="1"/>
    <xf numFmtId="181" fontId="8" fillId="14" borderId="0" xfId="6" applyNumberFormat="1" applyFont="1" applyFill="1" applyBorder="1" applyProtection="1">
      <protection locked="0"/>
    </xf>
    <xf numFmtId="181" fontId="8" fillId="2" borderId="0" xfId="6" applyNumberFormat="1" applyFont="1" applyFill="1" applyAlignment="1" applyProtection="1">
      <alignment horizontal="left"/>
      <protection locked="0"/>
    </xf>
    <xf numFmtId="169" fontId="0" fillId="0" borderId="0" xfId="8" applyNumberFormat="1" applyFont="1"/>
    <xf numFmtId="41" fontId="9" fillId="0" borderId="9" xfId="3" applyFont="1" applyBorder="1" applyAlignment="1">
      <alignment horizontal="center" wrapText="1"/>
    </xf>
    <xf numFmtId="2" fontId="83" fillId="18" borderId="13" xfId="0" applyNumberFormat="1" applyFont="1" applyFill="1" applyBorder="1" applyAlignment="1">
      <alignment horizontal="center" vertical="center" wrapText="1"/>
    </xf>
    <xf numFmtId="2" fontId="83" fillId="18" borderId="14" xfId="0" applyNumberFormat="1" applyFont="1" applyFill="1" applyBorder="1" applyAlignment="1">
      <alignment horizontal="center" vertical="center" wrapText="1"/>
    </xf>
    <xf numFmtId="2" fontId="83" fillId="18" borderId="14" xfId="15" applyNumberFormat="1" applyFont="1" applyFill="1" applyBorder="1" applyAlignment="1">
      <alignment horizontal="center" vertical="center" wrapText="1"/>
    </xf>
    <xf numFmtId="170" fontId="83" fillId="45" borderId="0" xfId="22" applyNumberFormat="1" applyFont="1" applyFill="1" applyAlignment="1">
      <alignment horizontal="center" vertical="center" wrapText="1"/>
    </xf>
    <xf numFmtId="2" fontId="83" fillId="18" borderId="6" xfId="15" applyNumberFormat="1" applyFont="1" applyFill="1" applyBorder="1" applyAlignment="1">
      <alignment horizontal="center" vertical="center" wrapText="1"/>
    </xf>
    <xf numFmtId="0" fontId="85" fillId="18" borderId="0" xfId="0" applyFont="1" applyFill="1"/>
    <xf numFmtId="170" fontId="41" fillId="35" borderId="1" xfId="2" applyNumberFormat="1" applyFont="1" applyFill="1" applyBorder="1" applyAlignment="1">
      <alignment horizontal="center"/>
    </xf>
    <xf numFmtId="0" fontId="85" fillId="0" borderId="1" xfId="22" applyFont="1" applyBorder="1" applyAlignment="1">
      <alignment horizontal="center" vertical="center" wrapText="1"/>
    </xf>
    <xf numFmtId="0" fontId="2" fillId="21" borderId="0" xfId="0" applyFont="1" applyFill="1" applyAlignment="1">
      <alignment wrapText="1"/>
    </xf>
    <xf numFmtId="0" fontId="85" fillId="0" borderId="86" xfId="22" applyFont="1" applyBorder="1" applyAlignment="1">
      <alignment horizontal="center" vertical="center" wrapText="1"/>
    </xf>
    <xf numFmtId="0" fontId="85" fillId="0" borderId="87" xfId="22" applyFont="1" applyBorder="1" applyAlignment="1">
      <alignment horizontal="center" vertical="center" wrapText="1"/>
    </xf>
    <xf numFmtId="0" fontId="41" fillId="33" borderId="87" xfId="22" applyFont="1" applyFill="1" applyBorder="1" applyAlignment="1">
      <alignment vertical="center" wrapText="1"/>
    </xf>
    <xf numFmtId="0" fontId="85" fillId="0" borderId="0" xfId="22" applyFont="1" applyAlignment="1">
      <alignment horizontal="center" vertical="center" wrapText="1"/>
    </xf>
    <xf numFmtId="0" fontId="85" fillId="33" borderId="87" xfId="22" applyFont="1" applyFill="1" applyBorder="1" applyAlignment="1">
      <alignment horizontal="left" vertical="center"/>
    </xf>
    <xf numFmtId="3" fontId="85" fillId="35" borderId="88" xfId="22" applyNumberFormat="1" applyFont="1" applyFill="1" applyBorder="1" applyAlignment="1" applyProtection="1">
      <alignment horizontal="right"/>
      <protection locked="0"/>
    </xf>
    <xf numFmtId="3" fontId="85" fillId="0" borderId="88" xfId="22" applyNumberFormat="1" applyFont="1" applyBorder="1" applyAlignment="1" applyProtection="1">
      <alignment horizontal="right"/>
      <protection locked="0"/>
    </xf>
    <xf numFmtId="3" fontId="85" fillId="36" borderId="88" xfId="22" applyNumberFormat="1" applyFont="1" applyFill="1" applyBorder="1" applyAlignment="1" applyProtection="1">
      <alignment horizontal="right"/>
      <protection locked="0"/>
    </xf>
    <xf numFmtId="3" fontId="85" fillId="35" borderId="1" xfId="15" applyNumberFormat="1" applyFont="1" applyFill="1" applyBorder="1" applyAlignment="1" applyProtection="1">
      <alignment horizontal="right"/>
      <protection locked="0"/>
    </xf>
    <xf numFmtId="3" fontId="85" fillId="38" borderId="88" xfId="22" applyNumberFormat="1" applyFont="1" applyFill="1" applyBorder="1" applyAlignment="1" applyProtection="1">
      <alignment horizontal="right"/>
      <protection locked="0"/>
    </xf>
    <xf numFmtId="0" fontId="41" fillId="40" borderId="87" xfId="22" applyFont="1" applyFill="1" applyBorder="1" applyAlignment="1">
      <alignment horizontal="left" vertical="center"/>
    </xf>
    <xf numFmtId="0" fontId="71" fillId="0" borderId="86" xfId="22" applyFont="1" applyBorder="1" applyAlignment="1">
      <alignment horizontal="center" vertical="center" wrapText="1"/>
    </xf>
    <xf numFmtId="0" fontId="85" fillId="18" borderId="1" xfId="22" applyFont="1" applyFill="1" applyBorder="1" applyAlignment="1">
      <alignment horizontal="center" vertical="center" wrapText="1"/>
    </xf>
    <xf numFmtId="0" fontId="83" fillId="41" borderId="0" xfId="22" applyFont="1" applyFill="1" applyAlignment="1">
      <alignment horizontal="center" vertical="center" wrapText="1"/>
    </xf>
    <xf numFmtId="170" fontId="83" fillId="41" borderId="0" xfId="22" applyNumberFormat="1" applyFont="1" applyFill="1" applyAlignment="1">
      <alignment horizontal="center" vertical="center" wrapText="1"/>
    </xf>
    <xf numFmtId="0" fontId="41" fillId="42" borderId="87" xfId="22" applyFont="1" applyFill="1" applyBorder="1" applyAlignment="1">
      <alignment horizontal="left" vertical="center"/>
    </xf>
    <xf numFmtId="3" fontId="85" fillId="34" borderId="0" xfId="22" applyNumberFormat="1" applyFont="1" applyFill="1" applyAlignment="1">
      <alignment horizontal="right"/>
    </xf>
    <xf numFmtId="0" fontId="71" fillId="18" borderId="86" xfId="22" applyFont="1" applyFill="1" applyBorder="1" applyAlignment="1">
      <alignment horizontal="center" vertical="center" wrapText="1"/>
    </xf>
    <xf numFmtId="3" fontId="2" fillId="34" borderId="0" xfId="22" applyNumberFormat="1" applyFont="1" applyFill="1" applyAlignment="1">
      <alignment horizontal="right"/>
    </xf>
    <xf numFmtId="170" fontId="85" fillId="0" borderId="88" xfId="22" applyNumberFormat="1" applyFont="1" applyBorder="1" applyAlignment="1" applyProtection="1">
      <alignment horizontal="center"/>
      <protection locked="0"/>
    </xf>
    <xf numFmtId="3" fontId="70" fillId="34" borderId="0" xfId="22" applyNumberFormat="1" applyFont="1" applyFill="1" applyAlignment="1">
      <alignment horizontal="left"/>
    </xf>
    <xf numFmtId="3" fontId="87" fillId="34" borderId="0" xfId="22" applyNumberFormat="1" applyFont="1" applyFill="1" applyAlignment="1">
      <alignment horizontal="left"/>
    </xf>
    <xf numFmtId="183" fontId="70" fillId="34" borderId="0" xfId="2" applyNumberFormat="1" applyFont="1" applyFill="1" applyBorder="1" applyAlignment="1" applyProtection="1">
      <alignment horizontal="right"/>
      <protection locked="0"/>
    </xf>
    <xf numFmtId="0" fontId="41" fillId="44" borderId="1" xfId="0" applyFont="1" applyFill="1" applyBorder="1" applyAlignment="1">
      <alignment horizontal="center" vertical="center" wrapText="1"/>
    </xf>
    <xf numFmtId="2" fontId="9" fillId="44" borderId="5" xfId="5" applyNumberFormat="1" applyFont="1" applyFill="1" applyBorder="1" applyAlignment="1">
      <alignment horizontal="center" vertical="center" wrapText="1"/>
    </xf>
    <xf numFmtId="170" fontId="85" fillId="0" borderId="2" xfId="2" applyNumberFormat="1" applyFont="1" applyFill="1" applyBorder="1" applyAlignment="1" applyProtection="1">
      <alignment horizontal="left" vertical="center" wrapText="1"/>
      <protection locked="0"/>
    </xf>
    <xf numFmtId="170" fontId="85" fillId="18" borderId="2" xfId="2" applyNumberFormat="1" applyFont="1" applyFill="1" applyBorder="1" applyAlignment="1" applyProtection="1">
      <alignment horizontal="left" vertical="center" wrapText="1"/>
      <protection locked="0"/>
    </xf>
    <xf numFmtId="0" fontId="41" fillId="35" borderId="1" xfId="0" applyFont="1" applyFill="1" applyBorder="1" applyAlignment="1">
      <alignment horizontal="left" vertical="center" wrapText="1"/>
    </xf>
    <xf numFmtId="3" fontId="2" fillId="38" borderId="1" xfId="5" applyNumberFormat="1" applyFont="1" applyFill="1" applyBorder="1" applyAlignment="1" applyProtection="1">
      <alignment horizontal="right"/>
    </xf>
    <xf numFmtId="170" fontId="85" fillId="0" borderId="1" xfId="2" applyNumberFormat="1" applyFont="1" applyFill="1" applyBorder="1" applyAlignment="1" applyProtection="1">
      <alignment horizontal="left" vertical="center" wrapText="1"/>
      <protection locked="0"/>
    </xf>
    <xf numFmtId="170" fontId="85" fillId="18" borderId="1" xfId="2" applyNumberFormat="1" applyFont="1" applyFill="1" applyBorder="1" applyAlignment="1" applyProtection="1">
      <alignment horizontal="left" vertical="center" wrapText="1"/>
      <protection locked="0"/>
    </xf>
    <xf numFmtId="3" fontId="2" fillId="18" borderId="1" xfId="5" applyNumberFormat="1" applyFont="1" applyFill="1" applyBorder="1" applyAlignment="1" applyProtection="1">
      <alignment horizontal="right"/>
      <protection locked="0"/>
    </xf>
    <xf numFmtId="170" fontId="85" fillId="0" borderId="8" xfId="2" applyNumberFormat="1" applyFont="1" applyFill="1" applyBorder="1" applyAlignment="1" applyProtection="1">
      <alignment horizontal="left" vertical="center" wrapText="1"/>
      <protection locked="0"/>
    </xf>
    <xf numFmtId="170" fontId="85" fillId="18" borderId="8" xfId="2" applyNumberFormat="1" applyFont="1" applyFill="1" applyBorder="1" applyAlignment="1" applyProtection="1">
      <alignment horizontal="left" vertical="center" wrapText="1"/>
      <protection locked="0"/>
    </xf>
    <xf numFmtId="0" fontId="41" fillId="35" borderId="8" xfId="0" applyFont="1" applyFill="1" applyBorder="1" applyAlignment="1">
      <alignment horizontal="left" vertical="center" wrapText="1"/>
    </xf>
    <xf numFmtId="170" fontId="85" fillId="0" borderId="1" xfId="2" applyNumberFormat="1" applyFont="1" applyBorder="1" applyAlignment="1" applyProtection="1">
      <alignment horizontal="center"/>
      <protection locked="0"/>
    </xf>
    <xf numFmtId="170" fontId="85" fillId="18" borderId="1" xfId="2" applyNumberFormat="1" applyFont="1" applyFill="1" applyBorder="1" applyAlignment="1" applyProtection="1">
      <alignment horizontal="center"/>
      <protection locked="0"/>
    </xf>
    <xf numFmtId="0" fontId="85" fillId="35" borderId="1" xfId="0" applyFont="1" applyFill="1" applyBorder="1" applyAlignment="1">
      <alignment horizontal="center"/>
    </xf>
    <xf numFmtId="0" fontId="85" fillId="38" borderId="1" xfId="0" applyFont="1" applyFill="1" applyBorder="1"/>
    <xf numFmtId="0" fontId="85" fillId="0" borderId="5" xfId="0" applyFont="1" applyBorder="1" applyAlignment="1">
      <alignment horizontal="center" vertical="center"/>
    </xf>
    <xf numFmtId="0" fontId="85" fillId="0" borderId="13" xfId="0" applyFont="1" applyBorder="1" applyAlignment="1">
      <alignment horizontal="center" vertical="center"/>
    </xf>
    <xf numFmtId="0" fontId="41" fillId="32" borderId="14" xfId="0" applyFont="1" applyFill="1" applyBorder="1" applyAlignment="1">
      <alignment vertical="center"/>
    </xf>
    <xf numFmtId="0" fontId="41" fillId="32" borderId="6" xfId="0" applyFont="1" applyFill="1" applyBorder="1" applyAlignment="1">
      <alignment vertical="center"/>
    </xf>
    <xf numFmtId="0" fontId="71" fillId="0" borderId="19" xfId="0" applyFont="1" applyBorder="1" applyAlignment="1">
      <alignment horizontal="center" vertical="center"/>
    </xf>
    <xf numFmtId="0" fontId="85" fillId="0" borderId="15" xfId="0" applyFont="1" applyBorder="1" applyAlignment="1">
      <alignment horizontal="center" vertical="center"/>
    </xf>
    <xf numFmtId="3" fontId="41" fillId="35" borderId="1" xfId="0" applyNumberFormat="1" applyFont="1" applyFill="1" applyBorder="1" applyAlignment="1">
      <alignment horizontal="right" vertical="center"/>
    </xf>
    <xf numFmtId="3" fontId="85" fillId="35" borderId="1" xfId="15" applyNumberFormat="1" applyFont="1" applyFill="1" applyBorder="1" applyAlignment="1">
      <alignment horizontal="right"/>
    </xf>
    <xf numFmtId="0" fontId="85" fillId="0" borderId="1" xfId="0" applyFont="1" applyBorder="1" applyAlignment="1">
      <alignment horizontal="center" vertical="center"/>
    </xf>
    <xf numFmtId="3" fontId="85" fillId="35" borderId="88" xfId="22" applyNumberFormat="1" applyFont="1" applyFill="1" applyBorder="1" applyAlignment="1">
      <alignment horizontal="right"/>
    </xf>
    <xf numFmtId="0" fontId="85" fillId="18" borderId="1" xfId="0" applyFont="1" applyFill="1" applyBorder="1" applyAlignment="1">
      <alignment horizontal="center" vertical="center"/>
    </xf>
    <xf numFmtId="3" fontId="41" fillId="32" borderId="1" xfId="15" applyNumberFormat="1" applyFont="1" applyFill="1" applyBorder="1" applyAlignment="1" applyProtection="1">
      <alignment horizontal="right" vertical="center"/>
      <protection locked="0"/>
    </xf>
    <xf numFmtId="2" fontId="41" fillId="46" borderId="14" xfId="0" applyNumberFormat="1" applyFont="1" applyFill="1" applyBorder="1" applyAlignment="1">
      <alignment horizontal="left" vertical="center" wrapText="1"/>
    </xf>
    <xf numFmtId="2" fontId="41" fillId="46" borderId="6" xfId="0" applyNumberFormat="1" applyFont="1" applyFill="1" applyBorder="1" applyAlignment="1">
      <alignment horizontal="left" vertical="center" wrapText="1"/>
    </xf>
    <xf numFmtId="3" fontId="41" fillId="35" borderId="1" xfId="15" applyNumberFormat="1" applyFont="1" applyFill="1" applyBorder="1" applyAlignment="1" applyProtection="1">
      <alignment horizontal="right"/>
      <protection locked="0"/>
    </xf>
    <xf numFmtId="3" fontId="41" fillId="46" borderId="1" xfId="15" applyNumberFormat="1" applyFont="1" applyFill="1" applyBorder="1" applyAlignment="1" applyProtection="1">
      <alignment horizontal="right" vertical="center"/>
      <protection locked="0"/>
    </xf>
    <xf numFmtId="2" fontId="41" fillId="44" borderId="14" xfId="0" applyNumberFormat="1" applyFont="1" applyFill="1" applyBorder="1" applyAlignment="1">
      <alignment horizontal="left" vertical="center" wrapText="1"/>
    </xf>
    <xf numFmtId="2" fontId="41" fillId="44" borderId="6" xfId="0" applyNumberFormat="1" applyFont="1" applyFill="1" applyBorder="1" applyAlignment="1">
      <alignment horizontal="left" vertical="center" wrapText="1"/>
    </xf>
    <xf numFmtId="3" fontId="85" fillId="0" borderId="1" xfId="15" applyNumberFormat="1" applyFont="1" applyFill="1" applyBorder="1" applyAlignment="1" applyProtection="1">
      <alignment horizontal="right"/>
      <protection locked="0"/>
    </xf>
    <xf numFmtId="3" fontId="85" fillId="18" borderId="1" xfId="15" applyNumberFormat="1" applyFont="1" applyFill="1" applyBorder="1" applyAlignment="1" applyProtection="1">
      <alignment horizontal="right"/>
      <protection locked="0"/>
    </xf>
    <xf numFmtId="0" fontId="88" fillId="39" borderId="19" xfId="0" applyFont="1" applyFill="1" applyBorder="1" applyAlignment="1">
      <alignment horizontal="center" vertical="center"/>
    </xf>
    <xf numFmtId="3" fontId="41" fillId="44" borderId="1" xfId="15" applyNumberFormat="1" applyFont="1" applyFill="1" applyBorder="1" applyAlignment="1" applyProtection="1">
      <alignment horizontal="right" vertical="center"/>
      <protection locked="0"/>
    </xf>
    <xf numFmtId="3" fontId="85" fillId="32" borderId="1" xfId="15" applyNumberFormat="1" applyFont="1" applyFill="1" applyBorder="1" applyAlignment="1" applyProtection="1">
      <alignment horizontal="right" vertical="center"/>
      <protection locked="0"/>
    </xf>
    <xf numFmtId="0" fontId="9" fillId="46" borderId="14" xfId="0" applyFont="1" applyFill="1" applyBorder="1" applyAlignment="1">
      <alignment horizontal="left" vertical="center" wrapText="1"/>
    </xf>
    <xf numFmtId="0" fontId="9" fillId="46" borderId="6" xfId="0" applyFont="1" applyFill="1" applyBorder="1" applyAlignment="1">
      <alignment horizontal="left" vertical="center" wrapText="1"/>
    </xf>
    <xf numFmtId="0" fontId="85" fillId="35" borderId="3" xfId="0" applyFont="1" applyFill="1" applyBorder="1" applyProtection="1">
      <protection locked="0"/>
    </xf>
    <xf numFmtId="0" fontId="85" fillId="35" borderId="4" xfId="0" applyFont="1" applyFill="1" applyBorder="1"/>
    <xf numFmtId="0" fontId="9" fillId="35" borderId="4" xfId="0" applyFont="1" applyFill="1" applyBorder="1" applyAlignment="1">
      <alignment horizontal="left" vertical="center" wrapText="1"/>
    </xf>
    <xf numFmtId="0" fontId="9" fillId="35" borderId="4" xfId="0" applyFont="1" applyFill="1" applyBorder="1" applyAlignment="1" applyProtection="1">
      <alignment horizontal="left" vertical="center" wrapText="1"/>
      <protection locked="0"/>
    </xf>
    <xf numFmtId="0" fontId="9" fillId="35" borderId="1" xfId="0" applyFont="1" applyFill="1" applyBorder="1" applyAlignment="1">
      <alignment horizontal="center" vertical="center" wrapText="1"/>
    </xf>
    <xf numFmtId="3" fontId="9" fillId="35" borderId="1" xfId="0" applyNumberFormat="1" applyFont="1" applyFill="1" applyBorder="1" applyAlignment="1">
      <alignment horizontal="center" vertical="center" wrapText="1"/>
    </xf>
    <xf numFmtId="0" fontId="9" fillId="32" borderId="1" xfId="0" applyFont="1" applyFill="1" applyBorder="1" applyAlignment="1">
      <alignment horizontal="left" vertical="center" wrapText="1"/>
    </xf>
    <xf numFmtId="170" fontId="9" fillId="35" borderId="1" xfId="2" applyNumberFormat="1" applyFont="1" applyFill="1" applyBorder="1" applyAlignment="1" applyProtection="1">
      <alignment horizontal="left" vertical="center" wrapText="1"/>
      <protection locked="0"/>
    </xf>
    <xf numFmtId="3" fontId="2" fillId="35" borderId="1" xfId="0" applyNumberFormat="1" applyFont="1" applyFill="1" applyBorder="1" applyAlignment="1" applyProtection="1">
      <alignment horizontal="right" vertical="center" wrapText="1"/>
      <protection locked="0"/>
    </xf>
    <xf numFmtId="0" fontId="85" fillId="32" borderId="1" xfId="0" applyFont="1" applyFill="1" applyBorder="1" applyAlignment="1">
      <alignment horizontal="left" vertical="center" wrapText="1"/>
    </xf>
    <xf numFmtId="170" fontId="85" fillId="38" borderId="1" xfId="2" applyNumberFormat="1" applyFont="1" applyFill="1" applyBorder="1" applyAlignment="1" applyProtection="1">
      <alignment horizontal="left" vertical="center" wrapText="1"/>
      <protection locked="0"/>
    </xf>
    <xf numFmtId="3" fontId="85" fillId="38" borderId="1" xfId="15" applyNumberFormat="1" applyFont="1" applyFill="1" applyBorder="1" applyAlignment="1" applyProtection="1">
      <alignment horizontal="right" vertical="center"/>
      <protection locked="0"/>
    </xf>
    <xf numFmtId="170" fontId="85" fillId="0" borderId="1" xfId="2" applyNumberFormat="1" applyFont="1" applyBorder="1" applyAlignment="1" applyProtection="1">
      <alignment horizontal="right" vertical="center"/>
      <protection locked="0"/>
    </xf>
    <xf numFmtId="170" fontId="85" fillId="0" borderId="1" xfId="2" applyNumberFormat="1" applyFont="1" applyBorder="1" applyAlignment="1" applyProtection="1">
      <alignment horizontal="left" vertical="center" wrapText="1"/>
      <protection locked="0"/>
    </xf>
    <xf numFmtId="0" fontId="9" fillId="35" borderId="1" xfId="0" applyFont="1" applyFill="1" applyBorder="1" applyAlignment="1">
      <alignment horizontal="left" vertical="center" wrapText="1"/>
    </xf>
    <xf numFmtId="170" fontId="2" fillId="35" borderId="1" xfId="2" applyNumberFormat="1" applyFont="1" applyFill="1" applyBorder="1" applyAlignment="1" applyProtection="1">
      <alignment horizontal="center" vertical="center" wrapText="1"/>
      <protection locked="0"/>
    </xf>
    <xf numFmtId="170" fontId="85" fillId="32" borderId="1" xfId="2" applyNumberFormat="1" applyFont="1" applyFill="1" applyBorder="1" applyAlignment="1" applyProtection="1">
      <alignment horizontal="left" vertical="center" wrapText="1"/>
      <protection locked="0"/>
    </xf>
    <xf numFmtId="170" fontId="85" fillId="35" borderId="1" xfId="2" applyNumberFormat="1" applyFont="1" applyFill="1" applyBorder="1" applyAlignment="1" applyProtection="1">
      <alignment horizontal="right" vertical="center"/>
      <protection locked="0"/>
    </xf>
    <xf numFmtId="0" fontId="41" fillId="46" borderId="4" xfId="0" applyFont="1" applyFill="1" applyBorder="1" applyAlignment="1">
      <alignment horizontal="left" vertical="center" wrapText="1"/>
    </xf>
    <xf numFmtId="0" fontId="41" fillId="46" borderId="8" xfId="0" applyFont="1" applyFill="1" applyBorder="1" applyAlignment="1">
      <alignment horizontal="left" vertical="center" wrapText="1"/>
    </xf>
    <xf numFmtId="41" fontId="41" fillId="46" borderId="1" xfId="3" applyFont="1" applyFill="1" applyBorder="1" applyAlignment="1">
      <alignment horizontal="left" vertical="center" wrapText="1"/>
    </xf>
    <xf numFmtId="0" fontId="41" fillId="37" borderId="14" xfId="0" applyFont="1" applyFill="1" applyBorder="1" applyAlignment="1">
      <alignment vertical="center" wrapText="1"/>
    </xf>
    <xf numFmtId="0" fontId="41" fillId="37" borderId="6" xfId="0" applyFont="1" applyFill="1" applyBorder="1" applyAlignment="1">
      <alignment vertical="center" wrapText="1"/>
    </xf>
    <xf numFmtId="0" fontId="85" fillId="0" borderId="19" xfId="0" applyFont="1" applyBorder="1" applyAlignment="1">
      <alignment horizontal="center" vertical="center"/>
    </xf>
    <xf numFmtId="3" fontId="41" fillId="35" borderId="1" xfId="15" applyNumberFormat="1" applyFont="1" applyFill="1" applyBorder="1" applyAlignment="1" applyProtection="1">
      <alignment horizontal="center" vertical="center"/>
    </xf>
    <xf numFmtId="0" fontId="84" fillId="35" borderId="1" xfId="0" applyFont="1" applyFill="1" applyBorder="1" applyAlignment="1">
      <alignment horizontal="center" wrapText="1"/>
    </xf>
    <xf numFmtId="0" fontId="85" fillId="35" borderId="1" xfId="0" applyFont="1" applyFill="1" applyBorder="1" applyAlignment="1" applyProtection="1">
      <alignment horizontal="left" vertical="center" wrapText="1"/>
      <protection locked="0"/>
    </xf>
    <xf numFmtId="3" fontId="85" fillId="0" borderId="1" xfId="15" applyNumberFormat="1" applyFont="1" applyBorder="1" applyAlignment="1" applyProtection="1">
      <alignment horizontal="right" vertical="center"/>
      <protection locked="0"/>
    </xf>
    <xf numFmtId="3" fontId="85" fillId="0" borderId="1" xfId="15" applyNumberFormat="1" applyFont="1" applyBorder="1" applyAlignment="1" applyProtection="1">
      <alignment horizontal="right"/>
      <protection locked="0"/>
    </xf>
    <xf numFmtId="0" fontId="85" fillId="35" borderId="1" xfId="0" applyFont="1" applyFill="1" applyBorder="1" applyAlignment="1">
      <alignment horizontal="left" vertical="center" wrapText="1"/>
    </xf>
    <xf numFmtId="0" fontId="85" fillId="35" borderId="1" xfId="0" applyFont="1" applyFill="1" applyBorder="1" applyAlignment="1" applyProtection="1">
      <alignment vertical="center" wrapText="1"/>
      <protection locked="0"/>
    </xf>
    <xf numFmtId="3" fontId="85" fillId="0" borderId="1" xfId="15" applyNumberFormat="1" applyFont="1" applyFill="1" applyBorder="1" applyAlignment="1" applyProtection="1">
      <alignment horizontal="right" vertical="center"/>
      <protection locked="0"/>
    </xf>
    <xf numFmtId="3" fontId="41" fillId="35" borderId="1" xfId="15" applyNumberFormat="1" applyFont="1" applyFill="1" applyBorder="1" applyAlignment="1" applyProtection="1">
      <alignment horizontal="right" vertical="center"/>
    </xf>
    <xf numFmtId="3" fontId="85" fillId="35" borderId="1" xfId="15" applyNumberFormat="1" applyFont="1" applyFill="1" applyBorder="1" applyAlignment="1" applyProtection="1">
      <alignment horizontal="right"/>
    </xf>
    <xf numFmtId="3" fontId="41" fillId="35" borderId="1" xfId="15" applyNumberFormat="1" applyFont="1" applyFill="1" applyBorder="1" applyAlignment="1" applyProtection="1">
      <alignment horizontal="center" vertical="center" wrapText="1"/>
    </xf>
    <xf numFmtId="170" fontId="85" fillId="0" borderId="1" xfId="2" applyNumberFormat="1" applyFont="1" applyFill="1" applyBorder="1" applyAlignment="1" applyProtection="1">
      <alignment vertical="center" wrapText="1"/>
      <protection locked="0"/>
    </xf>
    <xf numFmtId="170" fontId="85" fillId="36" borderId="1" xfId="2" applyNumberFormat="1" applyFont="1" applyFill="1" applyBorder="1" applyAlignment="1" applyProtection="1">
      <alignment vertical="center" wrapText="1"/>
      <protection locked="0"/>
    </xf>
    <xf numFmtId="170" fontId="85" fillId="0" borderId="1" xfId="2" quotePrefix="1" applyNumberFormat="1" applyFont="1" applyBorder="1" applyAlignment="1" applyProtection="1">
      <alignment horizontal="right" vertical="center"/>
      <protection locked="0"/>
    </xf>
    <xf numFmtId="170" fontId="85" fillId="0" borderId="1" xfId="2" applyNumberFormat="1" applyFont="1" applyFill="1" applyBorder="1" applyAlignment="1" applyProtection="1">
      <alignment horizontal="right"/>
      <protection locked="0"/>
    </xf>
    <xf numFmtId="170" fontId="85" fillId="36" borderId="1" xfId="2" applyNumberFormat="1" applyFont="1" applyFill="1" applyBorder="1" applyAlignment="1" applyProtection="1">
      <alignment horizontal="left" vertical="center" wrapText="1"/>
      <protection locked="0"/>
    </xf>
    <xf numFmtId="0" fontId="83" fillId="32" borderId="4" xfId="0" applyFont="1" applyFill="1" applyBorder="1" applyAlignment="1">
      <alignment horizontal="left" vertical="center" wrapText="1"/>
    </xf>
    <xf numFmtId="184" fontId="89" fillId="32" borderId="4" xfId="0" applyNumberFormat="1" applyFont="1" applyFill="1" applyBorder="1" applyAlignment="1">
      <alignment horizontal="left" vertical="center" wrapText="1"/>
    </xf>
    <xf numFmtId="0" fontId="70" fillId="32" borderId="8" xfId="0" applyFont="1" applyFill="1" applyBorder="1" applyAlignment="1">
      <alignment horizontal="left" vertical="center" wrapText="1"/>
    </xf>
    <xf numFmtId="0" fontId="71" fillId="39" borderId="19" xfId="0" applyFont="1" applyFill="1" applyBorder="1" applyAlignment="1">
      <alignment horizontal="center" vertical="center"/>
    </xf>
    <xf numFmtId="0" fontId="83" fillId="43" borderId="4" xfId="0" applyFont="1" applyFill="1" applyBorder="1" applyAlignment="1">
      <alignment horizontal="left" vertical="center" wrapText="1"/>
    </xf>
    <xf numFmtId="0" fontId="70" fillId="43" borderId="8" xfId="0" applyFont="1" applyFill="1" applyBorder="1" applyAlignment="1">
      <alignment horizontal="left" vertical="center" wrapText="1"/>
    </xf>
    <xf numFmtId="3" fontId="85" fillId="43" borderId="1" xfId="15" applyNumberFormat="1" applyFont="1" applyFill="1" applyBorder="1" applyAlignment="1" applyProtection="1">
      <alignment horizontal="right" vertical="center"/>
      <protection locked="0"/>
    </xf>
    <xf numFmtId="0" fontId="83" fillId="35" borderId="1" xfId="0" applyFont="1" applyFill="1" applyBorder="1" applyAlignment="1" applyProtection="1">
      <alignment horizontal="left" vertical="center" wrapText="1"/>
      <protection locked="0"/>
    </xf>
    <xf numFmtId="0" fontId="70" fillId="35" borderId="1" xfId="0" applyFont="1" applyFill="1" applyBorder="1" applyAlignment="1" applyProtection="1">
      <alignment horizontal="left" vertical="center" wrapText="1"/>
      <protection locked="0"/>
    </xf>
    <xf numFmtId="3" fontId="85" fillId="18" borderId="1" xfId="0" applyNumberFormat="1" applyFont="1" applyFill="1" applyBorder="1" applyProtection="1">
      <protection locked="0"/>
    </xf>
    <xf numFmtId="0" fontId="71" fillId="18" borderId="19" xfId="0" applyFont="1" applyFill="1" applyBorder="1" applyAlignment="1">
      <alignment horizontal="center" vertical="center"/>
    </xf>
    <xf numFmtId="0" fontId="85" fillId="18" borderId="15" xfId="0" applyFont="1" applyFill="1" applyBorder="1" applyAlignment="1">
      <alignment horizontal="center" vertical="center"/>
    </xf>
    <xf numFmtId="0" fontId="41" fillId="46" borderId="1" xfId="0" applyFont="1" applyFill="1" applyBorder="1" applyAlignment="1">
      <alignment vertical="center" wrapText="1"/>
    </xf>
    <xf numFmtId="3" fontId="41" fillId="46" borderId="1" xfId="15" applyNumberFormat="1" applyFont="1" applyFill="1" applyBorder="1" applyAlignment="1" applyProtection="1">
      <alignment horizontal="right" vertical="center"/>
    </xf>
    <xf numFmtId="0" fontId="85" fillId="18" borderId="1" xfId="0" applyFont="1" applyFill="1" applyBorder="1" applyAlignment="1" applyProtection="1">
      <alignment vertical="center" wrapText="1"/>
      <protection locked="0"/>
    </xf>
    <xf numFmtId="170" fontId="85" fillId="18" borderId="1" xfId="2" applyNumberFormat="1" applyFont="1" applyFill="1" applyBorder="1" applyAlignment="1" applyProtection="1">
      <alignment vertical="center" wrapText="1"/>
      <protection locked="0"/>
    </xf>
    <xf numFmtId="3" fontId="85" fillId="18" borderId="1" xfId="0" applyNumberFormat="1" applyFont="1" applyFill="1" applyBorder="1"/>
    <xf numFmtId="0" fontId="41" fillId="35" borderId="1" xfId="0" applyFont="1" applyFill="1" applyBorder="1" applyAlignment="1" applyProtection="1">
      <alignment vertical="center" wrapText="1"/>
      <protection locked="0"/>
    </xf>
    <xf numFmtId="0" fontId="85" fillId="18" borderId="1" xfId="0" applyFont="1" applyFill="1" applyBorder="1" applyAlignment="1">
      <alignment vertical="center" wrapText="1"/>
    </xf>
    <xf numFmtId="170" fontId="85" fillId="18" borderId="1" xfId="2" applyNumberFormat="1" applyFont="1" applyFill="1" applyBorder="1" applyAlignment="1">
      <alignment vertical="center" wrapText="1"/>
    </xf>
    <xf numFmtId="0" fontId="83" fillId="38" borderId="1" xfId="0" applyFont="1" applyFill="1" applyBorder="1" applyAlignment="1" applyProtection="1">
      <alignment horizontal="left" vertical="center" wrapText="1"/>
      <protection locked="0"/>
    </xf>
    <xf numFmtId="0" fontId="70" fillId="38" borderId="1" xfId="0" applyFont="1" applyFill="1" applyBorder="1" applyAlignment="1" applyProtection="1">
      <alignment horizontal="left" vertical="center" wrapText="1"/>
      <protection locked="0"/>
    </xf>
    <xf numFmtId="0" fontId="2" fillId="38" borderId="19" xfId="0" applyFont="1" applyFill="1" applyBorder="1" applyAlignment="1">
      <alignment horizontal="center" vertical="center"/>
    </xf>
    <xf numFmtId="0" fontId="85" fillId="46" borderId="2" xfId="0" applyFont="1" applyFill="1" applyBorder="1" applyAlignment="1">
      <alignment horizontal="center" vertical="center"/>
    </xf>
    <xf numFmtId="0" fontId="83" fillId="38" borderId="4" xfId="0" applyFont="1" applyFill="1" applyBorder="1" applyAlignment="1" applyProtection="1">
      <alignment horizontal="left" vertical="center" wrapText="1"/>
      <protection locked="0"/>
    </xf>
    <xf numFmtId="0" fontId="70" fillId="38" borderId="8" xfId="0" applyFont="1" applyFill="1" applyBorder="1" applyAlignment="1" applyProtection="1">
      <alignment horizontal="left" vertical="center" wrapText="1"/>
      <protection locked="0"/>
    </xf>
    <xf numFmtId="0" fontId="41" fillId="32" borderId="4" xfId="0" applyFont="1" applyFill="1" applyBorder="1" applyAlignment="1" applyProtection="1">
      <alignment vertical="center" wrapText="1"/>
      <protection locked="0"/>
    </xf>
    <xf numFmtId="0" fontId="83" fillId="32" borderId="4" xfId="0" applyFont="1" applyFill="1" applyBorder="1" applyAlignment="1" applyProtection="1">
      <alignment horizontal="left" vertical="center" wrapText="1"/>
      <protection locked="0"/>
    </xf>
    <xf numFmtId="0" fontId="70" fillId="32" borderId="8" xfId="0" applyFont="1" applyFill="1" applyBorder="1" applyAlignment="1" applyProtection="1">
      <alignment horizontal="left" vertical="center" wrapText="1"/>
      <protection locked="0"/>
    </xf>
    <xf numFmtId="3" fontId="41" fillId="35" borderId="1" xfId="15" applyNumberFormat="1" applyFont="1" applyFill="1" applyBorder="1" applyAlignment="1" applyProtection="1">
      <alignment horizontal="right" vertical="center"/>
      <protection locked="0"/>
    </xf>
    <xf numFmtId="0" fontId="2" fillId="39" borderId="19" xfId="0" applyFont="1" applyFill="1" applyBorder="1" applyAlignment="1">
      <alignment horizontal="center" vertical="center"/>
    </xf>
    <xf numFmtId="3" fontId="41" fillId="0" borderId="1" xfId="15" applyNumberFormat="1" applyFont="1" applyFill="1" applyBorder="1" applyAlignment="1" applyProtection="1">
      <alignment horizontal="right" vertical="center"/>
      <protection locked="0"/>
    </xf>
    <xf numFmtId="0" fontId="41" fillId="35" borderId="1" xfId="0" applyFont="1" applyFill="1" applyBorder="1" applyAlignment="1">
      <alignment vertical="center" wrapText="1"/>
    </xf>
    <xf numFmtId="0" fontId="85" fillId="35" borderId="1" xfId="0" applyFont="1" applyFill="1" applyBorder="1" applyAlignment="1">
      <alignment vertical="center"/>
    </xf>
    <xf numFmtId="0" fontId="85" fillId="43" borderId="1" xfId="0" applyFont="1" applyFill="1" applyBorder="1" applyAlignment="1">
      <alignment vertical="center"/>
    </xf>
    <xf numFmtId="170" fontId="85" fillId="43" borderId="1" xfId="2" applyNumberFormat="1" applyFont="1" applyFill="1" applyBorder="1" applyAlignment="1">
      <alignment vertical="center"/>
    </xf>
    <xf numFmtId="0" fontId="85" fillId="43" borderId="0" xfId="0" applyFont="1" applyFill="1" applyAlignment="1">
      <alignment vertical="center"/>
    </xf>
    <xf numFmtId="170" fontId="85" fillId="43" borderId="1" xfId="2" applyNumberFormat="1" applyFont="1" applyFill="1" applyBorder="1" applyAlignment="1" applyProtection="1">
      <alignment vertical="center"/>
      <protection locked="0"/>
    </xf>
    <xf numFmtId="0" fontId="85" fillId="39" borderId="19" xfId="0" applyFont="1" applyFill="1" applyBorder="1" applyAlignment="1">
      <alignment horizontal="center" vertical="center"/>
    </xf>
    <xf numFmtId="3" fontId="41" fillId="38" borderId="1" xfId="15" applyNumberFormat="1" applyFont="1" applyFill="1" applyBorder="1" applyAlignment="1" applyProtection="1">
      <alignment horizontal="right" vertical="center"/>
      <protection locked="0"/>
    </xf>
    <xf numFmtId="3" fontId="41" fillId="0" borderId="1" xfId="15" applyNumberFormat="1" applyFont="1" applyFill="1" applyBorder="1" applyAlignment="1" applyProtection="1">
      <alignment horizontal="right"/>
      <protection locked="0"/>
    </xf>
    <xf numFmtId="0" fontId="83" fillId="43" borderId="1" xfId="0" applyFont="1" applyFill="1" applyBorder="1" applyAlignment="1">
      <alignment horizontal="left" vertical="center" wrapText="1"/>
    </xf>
    <xf numFmtId="0" fontId="71" fillId="43" borderId="1" xfId="0" applyFont="1" applyFill="1" applyBorder="1"/>
    <xf numFmtId="41" fontId="85" fillId="0" borderId="1" xfId="3" applyFont="1" applyBorder="1" applyAlignment="1" applyProtection="1">
      <alignment horizontal="center"/>
      <protection locked="0"/>
    </xf>
    <xf numFmtId="41" fontId="85" fillId="0" borderId="1" xfId="3" applyFont="1" applyFill="1" applyBorder="1" applyAlignment="1" applyProtection="1">
      <alignment horizontal="left" vertical="center" wrapText="1"/>
      <protection locked="0"/>
    </xf>
    <xf numFmtId="0" fontId="85" fillId="35" borderId="1" xfId="0" applyFont="1" applyFill="1" applyBorder="1"/>
    <xf numFmtId="41" fontId="85" fillId="0" borderId="1" xfId="3" applyFont="1" applyFill="1" applyBorder="1" applyAlignment="1" applyProtection="1">
      <alignment horizontal="left" vertical="center"/>
      <protection locked="0"/>
    </xf>
    <xf numFmtId="0" fontId="85" fillId="35" borderId="1" xfId="0" applyFont="1" applyFill="1" applyBorder="1" applyAlignment="1">
      <alignment horizontal="left" vertical="center"/>
    </xf>
    <xf numFmtId="41" fontId="85" fillId="0" borderId="1" xfId="3" applyFont="1" applyBorder="1" applyProtection="1">
      <protection locked="0"/>
    </xf>
    <xf numFmtId="41" fontId="85" fillId="43" borderId="1" xfId="3" applyFont="1" applyFill="1" applyBorder="1" applyAlignment="1" applyProtection="1">
      <alignment horizontal="center" vertical="center"/>
      <protection locked="0"/>
    </xf>
    <xf numFmtId="41" fontId="41" fillId="43" borderId="1" xfId="3" applyFont="1" applyFill="1" applyBorder="1" applyAlignment="1">
      <alignment horizontal="center" vertical="center" wrapText="1"/>
    </xf>
    <xf numFmtId="41" fontId="41" fillId="32" borderId="1" xfId="3" applyFont="1" applyFill="1" applyBorder="1" applyAlignment="1" applyProtection="1">
      <alignment horizontal="center" vertical="center"/>
      <protection locked="0"/>
    </xf>
    <xf numFmtId="41" fontId="41" fillId="32" borderId="1" xfId="3" applyFont="1" applyFill="1" applyBorder="1" applyAlignment="1">
      <alignment horizontal="center" vertical="center" wrapText="1"/>
    </xf>
    <xf numFmtId="0" fontId="41" fillId="32" borderId="1" xfId="0" applyFont="1" applyFill="1" applyBorder="1" applyAlignment="1">
      <alignment horizontal="left" vertical="center" wrapText="1"/>
    </xf>
    <xf numFmtId="0" fontId="85" fillId="32" borderId="1" xfId="0" applyFont="1" applyFill="1" applyBorder="1"/>
    <xf numFmtId="41" fontId="41" fillId="35" borderId="1" xfId="3" applyFont="1" applyFill="1" applyBorder="1" applyAlignment="1" applyProtection="1">
      <alignment horizontal="center" vertical="center"/>
      <protection locked="0"/>
    </xf>
    <xf numFmtId="41" fontId="41" fillId="35" borderId="4" xfId="3" applyFont="1" applyFill="1" applyBorder="1" applyAlignment="1" applyProtection="1">
      <alignment horizontal="center" vertical="center"/>
      <protection locked="0"/>
    </xf>
    <xf numFmtId="41" fontId="41" fillId="35" borderId="4" xfId="3" applyFont="1" applyFill="1" applyBorder="1" applyAlignment="1">
      <alignment horizontal="center" vertical="center" wrapText="1"/>
    </xf>
    <xf numFmtId="0" fontId="41" fillId="35" borderId="15" xfId="0" applyFont="1" applyFill="1" applyBorder="1" applyAlignment="1">
      <alignment horizontal="center" vertical="center" wrapText="1"/>
    </xf>
    <xf numFmtId="41" fontId="85" fillId="18" borderId="1" xfId="3" applyFont="1" applyFill="1" applyBorder="1" applyAlignment="1" applyProtection="1">
      <alignment horizontal="center" vertical="center"/>
      <protection locked="0"/>
    </xf>
    <xf numFmtId="41" fontId="41" fillId="35" borderId="1" xfId="3" applyFont="1" applyFill="1" applyBorder="1" applyAlignment="1" applyProtection="1">
      <alignment horizontal="center" vertical="center" wrapText="1"/>
      <protection locked="0"/>
    </xf>
    <xf numFmtId="0" fontId="41" fillId="35" borderId="1" xfId="0" applyFont="1" applyFill="1" applyBorder="1" applyAlignment="1" applyProtection="1">
      <alignment horizontal="left" vertical="center" wrapText="1"/>
      <protection locked="0"/>
    </xf>
    <xf numFmtId="0" fontId="85" fillId="38" borderId="1" xfId="0" applyFont="1" applyFill="1" applyBorder="1" applyProtection="1">
      <protection locked="0"/>
    </xf>
    <xf numFmtId="0" fontId="85" fillId="35" borderId="15" xfId="0" applyFont="1" applyFill="1" applyBorder="1"/>
    <xf numFmtId="0" fontId="41" fillId="35" borderId="17" xfId="0" applyFont="1" applyFill="1" applyBorder="1" applyAlignment="1">
      <alignment horizontal="center" vertical="center" wrapText="1"/>
    </xf>
    <xf numFmtId="41" fontId="41" fillId="35" borderId="1" xfId="3" applyFont="1" applyFill="1" applyBorder="1" applyAlignment="1">
      <alignment horizontal="center" vertical="center" wrapText="1"/>
    </xf>
    <xf numFmtId="0" fontId="41" fillId="35" borderId="1" xfId="0" applyFont="1" applyFill="1" applyBorder="1"/>
    <xf numFmtId="170" fontId="85" fillId="0" borderId="1" xfId="2" applyNumberFormat="1" applyFont="1" applyFill="1" applyBorder="1" applyAlignment="1" applyProtection="1">
      <alignment horizontal="center" vertical="center" wrapText="1"/>
      <protection locked="0"/>
    </xf>
    <xf numFmtId="170" fontId="85" fillId="35" borderId="1" xfId="2" applyNumberFormat="1" applyFont="1" applyFill="1" applyBorder="1" applyAlignment="1" applyProtection="1">
      <alignment horizontal="left" vertical="center" wrapText="1"/>
      <protection locked="0"/>
    </xf>
    <xf numFmtId="0" fontId="85" fillId="35" borderId="0" xfId="0" applyFont="1" applyFill="1" applyAlignment="1">
      <alignment horizontal="left" vertical="center" wrapText="1"/>
    </xf>
    <xf numFmtId="0" fontId="85" fillId="35" borderId="16" xfId="0" applyFont="1" applyFill="1" applyBorder="1" applyAlignment="1">
      <alignment horizontal="left" vertical="center" wrapText="1"/>
    </xf>
    <xf numFmtId="170" fontId="85" fillId="35" borderId="1" xfId="2" applyNumberFormat="1" applyFont="1" applyFill="1" applyBorder="1" applyAlignment="1" applyProtection="1">
      <alignment horizontal="right"/>
      <protection locked="0"/>
    </xf>
    <xf numFmtId="170" fontId="85" fillId="35" borderId="1" xfId="2" applyNumberFormat="1" applyFont="1" applyFill="1" applyBorder="1" applyAlignment="1" applyProtection="1">
      <alignment horizontal="center" vertical="center" wrapText="1"/>
      <protection locked="0"/>
    </xf>
    <xf numFmtId="170" fontId="85" fillId="18" borderId="1" xfId="2" applyNumberFormat="1" applyFont="1" applyFill="1" applyBorder="1" applyAlignment="1" applyProtection="1">
      <alignment horizontal="right"/>
      <protection locked="0"/>
    </xf>
    <xf numFmtId="170" fontId="85" fillId="0" borderId="1" xfId="2" applyNumberFormat="1" applyFont="1" applyFill="1" applyBorder="1" applyAlignment="1" applyProtection="1">
      <alignment wrapText="1"/>
      <protection locked="0"/>
    </xf>
    <xf numFmtId="0" fontId="85" fillId="35" borderId="0" xfId="0" applyFont="1" applyFill="1" applyAlignment="1">
      <alignment wrapText="1"/>
    </xf>
    <xf numFmtId="0" fontId="85" fillId="35" borderId="16" xfId="0" applyFont="1" applyFill="1" applyBorder="1" applyAlignment="1">
      <alignment wrapText="1"/>
    </xf>
    <xf numFmtId="0" fontId="85" fillId="35" borderId="9" xfId="0" applyFont="1" applyFill="1" applyBorder="1" applyAlignment="1">
      <alignment wrapText="1"/>
    </xf>
    <xf numFmtId="0" fontId="85" fillId="35" borderId="7" xfId="0" applyFont="1" applyFill="1" applyBorder="1" applyAlignment="1">
      <alignment wrapText="1"/>
    </xf>
    <xf numFmtId="0" fontId="85" fillId="18" borderId="0" xfId="0" applyFont="1" applyFill="1" applyAlignment="1">
      <alignment horizontal="center" vertical="center"/>
    </xf>
    <xf numFmtId="0" fontId="85" fillId="18" borderId="0" xfId="0" applyFont="1" applyFill="1" applyAlignment="1">
      <alignment horizontal="left"/>
    </xf>
    <xf numFmtId="0" fontId="85" fillId="18" borderId="0" xfId="0" applyFont="1" applyFill="1" applyAlignment="1">
      <alignment wrapText="1"/>
    </xf>
    <xf numFmtId="170" fontId="85" fillId="18" borderId="0" xfId="15" applyNumberFormat="1" applyFont="1" applyFill="1" applyAlignment="1">
      <alignment horizontal="center"/>
    </xf>
    <xf numFmtId="0" fontId="85" fillId="18" borderId="0" xfId="0" applyFont="1" applyFill="1" applyAlignment="1">
      <alignment horizontal="center"/>
    </xf>
    <xf numFmtId="41" fontId="85" fillId="0" borderId="1" xfId="3" applyFont="1" applyFill="1" applyBorder="1" applyAlignment="1">
      <alignment horizontal="left" vertical="center" wrapText="1"/>
    </xf>
    <xf numFmtId="41" fontId="85" fillId="0" borderId="1" xfId="3" applyFont="1" applyBorder="1"/>
    <xf numFmtId="41" fontId="85" fillId="0" borderId="1" xfId="0" applyNumberFormat="1" applyFont="1" applyBorder="1"/>
    <xf numFmtId="41" fontId="9" fillId="35" borderId="1" xfId="3" applyFont="1" applyFill="1" applyBorder="1" applyAlignment="1">
      <alignment horizontal="left" vertical="center" wrapText="1"/>
    </xf>
    <xf numFmtId="41" fontId="2" fillId="0" borderId="1" xfId="3" applyFont="1" applyFill="1" applyBorder="1" applyAlignment="1">
      <alignment horizontal="left" vertical="center" wrapText="1"/>
    </xf>
    <xf numFmtId="41" fontId="85" fillId="35" borderId="1" xfId="0" applyNumberFormat="1" applyFont="1" applyFill="1" applyBorder="1"/>
    <xf numFmtId="41" fontId="2" fillId="35" borderId="1" xfId="3" applyFont="1" applyFill="1" applyBorder="1" applyAlignment="1">
      <alignment horizontal="left" vertical="center" wrapText="1"/>
    </xf>
    <xf numFmtId="0" fontId="85" fillId="18" borderId="0" xfId="0" applyFont="1" applyFill="1" applyAlignment="1">
      <alignment horizontal="left" vertical="center" wrapText="1"/>
    </xf>
    <xf numFmtId="3" fontId="85" fillId="18" borderId="0" xfId="0" applyNumberFormat="1" applyFont="1" applyFill="1"/>
    <xf numFmtId="0" fontId="85" fillId="0" borderId="19" xfId="0" applyFont="1" applyBorder="1" applyAlignment="1">
      <alignment horizontal="center" vertical="center" wrapText="1"/>
    </xf>
    <xf numFmtId="0" fontId="85" fillId="32" borderId="19" xfId="0" applyFont="1" applyFill="1" applyBorder="1" applyProtection="1">
      <protection locked="0"/>
    </xf>
    <xf numFmtId="170" fontId="85" fillId="35" borderId="1" xfId="2" applyNumberFormat="1" applyFont="1" applyFill="1" applyBorder="1" applyAlignment="1" applyProtection="1">
      <alignment horizontal="center"/>
      <protection locked="0"/>
    </xf>
    <xf numFmtId="185" fontId="85" fillId="35" borderId="1" xfId="2" applyNumberFormat="1" applyFont="1" applyFill="1" applyBorder="1" applyAlignment="1" applyProtection="1">
      <alignment horizontal="center"/>
      <protection locked="0"/>
    </xf>
    <xf numFmtId="170" fontId="41" fillId="35" borderId="1" xfId="2" applyNumberFormat="1" applyFont="1" applyFill="1" applyBorder="1" applyAlignment="1" applyProtection="1">
      <alignment horizontal="center"/>
    </xf>
    <xf numFmtId="179" fontId="41" fillId="35" borderId="1" xfId="8" applyNumberFormat="1" applyFont="1" applyFill="1" applyBorder="1" applyAlignment="1" applyProtection="1">
      <alignment horizontal="center"/>
    </xf>
    <xf numFmtId="0" fontId="85" fillId="32" borderId="17" xfId="0" applyFont="1" applyFill="1" applyBorder="1" applyProtection="1">
      <protection locked="0"/>
    </xf>
    <xf numFmtId="170" fontId="41" fillId="35" borderId="1" xfId="2" applyNumberFormat="1" applyFont="1" applyFill="1" applyBorder="1" applyAlignment="1" applyProtection="1">
      <alignment horizontal="center"/>
      <protection locked="0"/>
    </xf>
    <xf numFmtId="0" fontId="85" fillId="46" borderId="19" xfId="0" applyFont="1" applyFill="1" applyBorder="1" applyProtection="1">
      <protection locked="0"/>
    </xf>
    <xf numFmtId="170" fontId="85" fillId="38" borderId="1" xfId="2" applyNumberFormat="1" applyFont="1" applyFill="1" applyBorder="1" applyAlignment="1" applyProtection="1">
      <alignment horizontal="center"/>
    </xf>
    <xf numFmtId="0" fontId="85" fillId="0" borderId="2" xfId="0" applyFont="1" applyBorder="1" applyAlignment="1">
      <alignment horizontal="center" vertical="center" wrapText="1"/>
    </xf>
    <xf numFmtId="0" fontId="85" fillId="46" borderId="17" xfId="0" applyFont="1" applyFill="1" applyBorder="1"/>
    <xf numFmtId="0" fontId="85" fillId="18" borderId="0" xfId="0" applyFont="1" applyFill="1" applyAlignment="1">
      <alignment horizontal="center" vertical="center" wrapText="1"/>
    </xf>
    <xf numFmtId="3" fontId="85" fillId="18" borderId="0" xfId="0" applyNumberFormat="1" applyFont="1" applyFill="1" applyProtection="1">
      <protection locked="0"/>
    </xf>
    <xf numFmtId="186" fontId="70" fillId="18" borderId="0" xfId="0" applyNumberFormat="1" applyFont="1" applyFill="1" applyProtection="1">
      <protection locked="0"/>
    </xf>
    <xf numFmtId="0" fontId="70" fillId="18" borderId="0" xfId="0" applyFont="1" applyFill="1"/>
    <xf numFmtId="0" fontId="2" fillId="18" borderId="0" xfId="0" applyFont="1" applyFill="1" applyAlignment="1">
      <alignment horizontal="left"/>
    </xf>
    <xf numFmtId="185" fontId="2" fillId="18" borderId="0" xfId="2" applyNumberFormat="1" applyFont="1" applyFill="1" applyAlignment="1">
      <alignment horizontal="center"/>
    </xf>
    <xf numFmtId="0" fontId="41" fillId="18" borderId="0" xfId="0" applyFont="1" applyFill="1" applyAlignment="1">
      <alignment horizontal="center"/>
    </xf>
    <xf numFmtId="41" fontId="41" fillId="18" borderId="0" xfId="0" applyNumberFormat="1" applyFont="1" applyFill="1" applyAlignment="1">
      <alignment horizontal="center"/>
    </xf>
    <xf numFmtId="0" fontId="90" fillId="18" borderId="0" xfId="0" applyFont="1" applyFill="1" applyAlignment="1">
      <alignment horizontal="left"/>
    </xf>
    <xf numFmtId="0" fontId="41" fillId="18" borderId="0" xfId="0" applyFont="1" applyFill="1"/>
    <xf numFmtId="0" fontId="85" fillId="0" borderId="0" xfId="0" applyFont="1" applyProtection="1">
      <protection locked="0"/>
    </xf>
    <xf numFmtId="0" fontId="41" fillId="0" borderId="0" xfId="0" applyFont="1" applyAlignment="1" applyProtection="1">
      <alignment horizontal="center"/>
      <protection locked="0"/>
    </xf>
    <xf numFmtId="170" fontId="85" fillId="0" borderId="0" xfId="2" applyNumberFormat="1" applyFont="1" applyProtection="1">
      <protection locked="0"/>
    </xf>
    <xf numFmtId="41" fontId="85" fillId="0" borderId="0" xfId="3" applyFont="1" applyProtection="1">
      <protection locked="0"/>
    </xf>
    <xf numFmtId="2" fontId="27" fillId="47" borderId="1" xfId="15" applyNumberFormat="1" applyFont="1" applyFill="1" applyBorder="1" applyAlignment="1">
      <alignment horizontal="center" vertical="center" wrapText="1"/>
    </xf>
    <xf numFmtId="170" fontId="27" fillId="48" borderId="92" xfId="22" applyNumberFormat="1" applyFont="1" applyFill="1" applyBorder="1" applyAlignment="1">
      <alignment horizontal="center" vertical="center" wrapText="1"/>
    </xf>
    <xf numFmtId="2" fontId="27" fillId="47" borderId="1" xfId="0" applyNumberFormat="1" applyFont="1" applyFill="1" applyBorder="1" applyAlignment="1">
      <alignment horizontal="center" vertical="center" wrapText="1"/>
    </xf>
    <xf numFmtId="3" fontId="2" fillId="0" borderId="69" xfId="6" applyNumberFormat="1" applyFont="1" applyBorder="1" applyAlignment="1" applyProtection="1">
      <alignment horizontal="left"/>
      <protection locked="0"/>
    </xf>
    <xf numFmtId="3" fontId="2" fillId="0" borderId="71" xfId="6" applyNumberFormat="1" applyFont="1" applyBorder="1" applyAlignment="1" applyProtection="1">
      <alignment horizontal="left"/>
      <protection locked="0"/>
    </xf>
    <xf numFmtId="41" fontId="0" fillId="0" borderId="0" xfId="0" applyNumberFormat="1"/>
    <xf numFmtId="41" fontId="19" fillId="0" borderId="0" xfId="0" applyNumberFormat="1" applyFont="1"/>
    <xf numFmtId="176" fontId="0" fillId="2" borderId="0" xfId="0" applyNumberFormat="1" applyFill="1"/>
    <xf numFmtId="176" fontId="9" fillId="2" borderId="0" xfId="0" applyNumberFormat="1" applyFont="1" applyFill="1"/>
    <xf numFmtId="4" fontId="0" fillId="2" borderId="0" xfId="0" applyNumberFormat="1" applyFill="1"/>
    <xf numFmtId="0" fontId="49" fillId="5" borderId="13" xfId="18" applyFont="1" applyFill="1" applyBorder="1" applyAlignment="1">
      <alignment vertical="center"/>
    </xf>
    <xf numFmtId="0" fontId="49" fillId="5" borderId="14" xfId="18" applyFont="1" applyFill="1" applyBorder="1" applyAlignment="1">
      <alignment vertical="center"/>
    </xf>
    <xf numFmtId="0" fontId="49" fillId="14" borderId="1" xfId="18" applyFont="1" applyFill="1" applyBorder="1" applyAlignment="1">
      <alignment horizontal="center" vertical="center"/>
    </xf>
    <xf numFmtId="0" fontId="51" fillId="14" borderId="1" xfId="18" applyFont="1" applyFill="1" applyBorder="1" applyAlignment="1">
      <alignment horizontal="center" vertical="center"/>
    </xf>
    <xf numFmtId="0" fontId="51" fillId="14" borderId="3" xfId="18" applyFont="1" applyFill="1" applyBorder="1" applyAlignment="1">
      <alignment horizontal="left" vertical="center"/>
    </xf>
    <xf numFmtId="0" fontId="51" fillId="14" borderId="1" xfId="18" applyFont="1" applyFill="1" applyBorder="1" applyAlignment="1">
      <alignment horizontal="left" vertical="center"/>
    </xf>
    <xf numFmtId="0" fontId="49" fillId="14" borderId="3" xfId="18" applyFont="1" applyFill="1" applyBorder="1" applyAlignment="1">
      <alignment horizontal="left" vertical="center"/>
    </xf>
    <xf numFmtId="0" fontId="49" fillId="14" borderId="1" xfId="18" applyFont="1" applyFill="1" applyBorder="1" applyAlignment="1">
      <alignment horizontal="left" vertical="center"/>
    </xf>
    <xf numFmtId="0" fontId="49" fillId="14" borderId="4" xfId="18" applyFont="1" applyFill="1" applyBorder="1" applyAlignment="1">
      <alignment vertical="center" wrapText="1"/>
    </xf>
    <xf numFmtId="0" fontId="49" fillId="14" borderId="8" xfId="18" applyFont="1" applyFill="1" applyBorder="1" applyAlignment="1">
      <alignment vertical="center" wrapText="1"/>
    </xf>
    <xf numFmtId="41" fontId="9" fillId="0" borderId="1" xfId="3" applyFont="1" applyBorder="1"/>
    <xf numFmtId="0" fontId="49" fillId="5" borderId="3" xfId="18" applyFont="1" applyFill="1" applyBorder="1" applyAlignment="1">
      <alignment vertical="center"/>
    </xf>
    <xf numFmtId="0" fontId="49" fillId="5" borderId="1" xfId="18" applyFont="1" applyFill="1" applyBorder="1" applyAlignment="1">
      <alignment vertical="center"/>
    </xf>
    <xf numFmtId="0" fontId="9" fillId="11" borderId="1" xfId="0" applyFont="1" applyFill="1" applyBorder="1" applyAlignment="1">
      <alignment wrapText="1"/>
    </xf>
    <xf numFmtId="41" fontId="19" fillId="0" borderId="1" xfId="3" applyFont="1" applyBorder="1"/>
    <xf numFmtId="41" fontId="2" fillId="0" borderId="1" xfId="0" applyNumberFormat="1" applyFont="1" applyBorder="1"/>
    <xf numFmtId="0" fontId="2" fillId="0" borderId="8" xfId="0" applyFont="1" applyBorder="1"/>
    <xf numFmtId="0" fontId="9" fillId="11" borderId="3" xfId="0" applyFont="1" applyFill="1" applyBorder="1"/>
    <xf numFmtId="0" fontId="2" fillId="11" borderId="8" xfId="0" applyFont="1" applyFill="1" applyBorder="1"/>
    <xf numFmtId="0" fontId="2" fillId="0" borderId="3" xfId="0" applyFont="1" applyBorder="1"/>
    <xf numFmtId="0" fontId="9" fillId="17" borderId="48" xfId="0" applyFont="1" applyFill="1" applyBorder="1"/>
    <xf numFmtId="0" fontId="91" fillId="2" borderId="4" xfId="0" applyFont="1" applyFill="1" applyBorder="1" applyAlignment="1">
      <alignment vertical="center" wrapText="1"/>
    </xf>
    <xf numFmtId="0" fontId="91" fillId="2" borderId="3" xfId="0" applyFont="1" applyFill="1" applyBorder="1" applyAlignment="1">
      <alignment vertical="center"/>
    </xf>
    <xf numFmtId="0" fontId="41" fillId="46" borderId="4" xfId="0" applyFont="1" applyFill="1" applyBorder="1" applyAlignment="1">
      <alignment horizontal="left" vertical="center"/>
    </xf>
    <xf numFmtId="0" fontId="41" fillId="37" borderId="14" xfId="0" applyFont="1" applyFill="1" applyBorder="1" applyAlignment="1">
      <alignment vertical="center"/>
    </xf>
    <xf numFmtId="0" fontId="41" fillId="43" borderId="0" xfId="0" applyFont="1" applyFill="1" applyAlignment="1">
      <alignment vertical="center"/>
    </xf>
    <xf numFmtId="0" fontId="28" fillId="49" borderId="0" xfId="0" applyFont="1" applyFill="1"/>
    <xf numFmtId="0" fontId="27" fillId="49" borderId="1" xfId="0" applyFont="1" applyFill="1" applyBorder="1" applyAlignment="1">
      <alignment horizontal="left" vertical="center" wrapText="1"/>
    </xf>
    <xf numFmtId="0" fontId="28" fillId="49" borderId="1" xfId="0" applyFont="1" applyFill="1" applyBorder="1"/>
    <xf numFmtId="0" fontId="27" fillId="49" borderId="1" xfId="0" applyFont="1" applyFill="1" applyBorder="1" applyAlignment="1">
      <alignment horizontal="center" vertical="center" wrapText="1"/>
    </xf>
    <xf numFmtId="0" fontId="2" fillId="7" borderId="0" xfId="0" applyFont="1" applyFill="1"/>
    <xf numFmtId="2" fontId="41" fillId="7" borderId="4" xfId="0" applyNumberFormat="1" applyFont="1" applyFill="1" applyBorder="1" applyAlignment="1">
      <alignment horizontal="center" vertical="center" wrapText="1"/>
    </xf>
    <xf numFmtId="2" fontId="41" fillId="7" borderId="8" xfId="0" applyNumberFormat="1" applyFont="1" applyFill="1" applyBorder="1" applyAlignment="1">
      <alignment horizontal="center" vertical="center" wrapText="1"/>
    </xf>
    <xf numFmtId="2" fontId="41" fillId="7" borderId="1" xfId="15" applyNumberFormat="1" applyFont="1" applyFill="1" applyBorder="1" applyAlignment="1">
      <alignment horizontal="center" vertical="center" wrapText="1"/>
    </xf>
    <xf numFmtId="0" fontId="9" fillId="7" borderId="0" xfId="0" applyFont="1" applyFill="1"/>
    <xf numFmtId="3" fontId="85" fillId="35" borderId="89" xfId="22" applyNumberFormat="1" applyFont="1" applyFill="1" applyBorder="1" applyAlignment="1" applyProtection="1">
      <alignment horizontal="right"/>
      <protection locked="0"/>
    </xf>
    <xf numFmtId="41" fontId="5" fillId="0" borderId="0" xfId="4" applyFill="1"/>
    <xf numFmtId="0" fontId="2" fillId="0" borderId="3" xfId="0" applyFont="1" applyBorder="1" applyAlignment="1">
      <alignment horizontal="left" wrapText="1"/>
    </xf>
    <xf numFmtId="0" fontId="23" fillId="25" borderId="1" xfId="0" applyFont="1" applyFill="1" applyBorder="1" applyAlignment="1">
      <alignment horizontal="center" vertical="center" wrapText="1"/>
    </xf>
    <xf numFmtId="0" fontId="2" fillId="0" borderId="0" xfId="0" applyFont="1" applyAlignment="1">
      <alignment textRotation="90"/>
    </xf>
    <xf numFmtId="2" fontId="27" fillId="47" borderId="3" xfId="0" applyNumberFormat="1" applyFont="1" applyFill="1" applyBorder="1" applyAlignment="1">
      <alignment horizontal="center" vertical="center" wrapText="1"/>
    </xf>
    <xf numFmtId="2" fontId="27" fillId="47" borderId="4" xfId="0" applyNumberFormat="1" applyFont="1" applyFill="1" applyBorder="1" applyAlignment="1">
      <alignment horizontal="center" vertical="center" wrapText="1"/>
    </xf>
    <xf numFmtId="0" fontId="21" fillId="25" borderId="1" xfId="0" applyFont="1" applyFill="1" applyBorder="1" applyAlignment="1">
      <alignment horizontal="center" vertical="center" wrapText="1"/>
    </xf>
    <xf numFmtId="0" fontId="9" fillId="0" borderId="0" xfId="0" applyFont="1" applyAlignment="1">
      <alignment horizontal="left"/>
    </xf>
    <xf numFmtId="3" fontId="20" fillId="0" borderId="50" xfId="0" applyNumberFormat="1" applyFont="1" applyBorder="1" applyProtection="1">
      <protection locked="0"/>
    </xf>
    <xf numFmtId="3" fontId="41" fillId="34" borderId="89" xfId="22" applyNumberFormat="1" applyFont="1" applyFill="1" applyBorder="1" applyAlignment="1" applyProtection="1">
      <alignment horizontal="right"/>
      <protection locked="0"/>
    </xf>
    <xf numFmtId="3" fontId="41" fillId="34" borderId="88" xfId="22" applyNumberFormat="1" applyFont="1" applyFill="1" applyBorder="1" applyAlignment="1" applyProtection="1">
      <alignment horizontal="right"/>
      <protection locked="0"/>
    </xf>
    <xf numFmtId="3" fontId="84" fillId="34" borderId="89" xfId="22" applyNumberFormat="1" applyFont="1" applyFill="1" applyBorder="1" applyAlignment="1" applyProtection="1">
      <alignment horizontal="right"/>
      <protection locked="0"/>
    </xf>
    <xf numFmtId="3" fontId="85" fillId="0" borderId="89" xfId="22" applyNumberFormat="1" applyFont="1" applyBorder="1" applyAlignment="1" applyProtection="1">
      <alignment horizontal="right"/>
      <protection locked="0"/>
    </xf>
    <xf numFmtId="3" fontId="85" fillId="35" borderId="95" xfId="22" applyNumberFormat="1" applyFont="1" applyFill="1" applyBorder="1" applyAlignment="1" applyProtection="1">
      <alignment horizontal="right"/>
      <protection locked="0"/>
    </xf>
    <xf numFmtId="3" fontId="85" fillId="35" borderId="1" xfId="22" applyNumberFormat="1" applyFont="1" applyFill="1" applyBorder="1" applyAlignment="1" applyProtection="1">
      <alignment horizontal="right"/>
      <protection locked="0"/>
    </xf>
    <xf numFmtId="3" fontId="84" fillId="34" borderId="1" xfId="22" applyNumberFormat="1" applyFont="1" applyFill="1" applyBorder="1" applyAlignment="1" applyProtection="1">
      <alignment horizontal="right"/>
      <protection locked="0"/>
    </xf>
    <xf numFmtId="3" fontId="84" fillId="34" borderId="88" xfId="22" applyNumberFormat="1" applyFont="1" applyFill="1" applyBorder="1" applyAlignment="1" applyProtection="1">
      <alignment horizontal="right"/>
      <protection locked="0"/>
    </xf>
    <xf numFmtId="3" fontId="41" fillId="34" borderId="91" xfId="22" applyNumberFormat="1" applyFont="1" applyFill="1" applyBorder="1" applyAlignment="1" applyProtection="1">
      <alignment horizontal="right"/>
      <protection locked="0"/>
    </xf>
    <xf numFmtId="41" fontId="41" fillId="33" borderId="88" xfId="3" applyFont="1" applyFill="1" applyBorder="1" applyAlignment="1">
      <alignment horizontal="right" vertical="center"/>
    </xf>
    <xf numFmtId="3" fontId="41" fillId="34" borderId="88" xfId="22" applyNumberFormat="1" applyFont="1" applyFill="1" applyBorder="1" applyAlignment="1">
      <alignment horizontal="right"/>
    </xf>
    <xf numFmtId="3" fontId="41" fillId="40" borderId="84" xfId="22" applyNumberFormat="1" applyFont="1" applyFill="1" applyBorder="1" applyAlignment="1">
      <alignment horizontal="right" vertical="center"/>
    </xf>
    <xf numFmtId="0" fontId="2" fillId="0" borderId="1" xfId="7" applyFont="1" applyBorder="1" applyAlignment="1">
      <alignment wrapText="1"/>
    </xf>
    <xf numFmtId="0" fontId="41" fillId="0" borderId="1" xfId="22" applyFont="1" applyBorder="1" applyAlignment="1">
      <alignment horizontal="center" vertical="center" wrapText="1"/>
    </xf>
    <xf numFmtId="3" fontId="41" fillId="35" borderId="1" xfId="22" applyNumberFormat="1" applyFont="1" applyFill="1" applyBorder="1" applyAlignment="1" applyProtection="1">
      <alignment horizontal="right"/>
      <protection locked="0"/>
    </xf>
    <xf numFmtId="3" fontId="41" fillId="0" borderId="89" xfId="22" applyNumberFormat="1" applyFont="1" applyBorder="1" applyAlignment="1" applyProtection="1">
      <alignment horizontal="right"/>
      <protection locked="0"/>
    </xf>
    <xf numFmtId="3" fontId="41" fillId="35" borderId="88" xfId="22" applyNumberFormat="1" applyFont="1" applyFill="1" applyBorder="1" applyAlignment="1" applyProtection="1">
      <alignment horizontal="right"/>
      <protection locked="0"/>
    </xf>
    <xf numFmtId="3" fontId="41" fillId="36" borderId="88" xfId="22" applyNumberFormat="1" applyFont="1" applyFill="1" applyBorder="1" applyAlignment="1" applyProtection="1">
      <alignment horizontal="right"/>
      <protection locked="0"/>
    </xf>
    <xf numFmtId="3" fontId="41" fillId="34" borderId="91" xfId="22" applyNumberFormat="1" applyFont="1" applyFill="1" applyBorder="1" applyAlignment="1">
      <alignment horizontal="right"/>
    </xf>
    <xf numFmtId="3" fontId="9" fillId="34" borderId="88" xfId="22" applyNumberFormat="1" applyFont="1" applyFill="1" applyBorder="1" applyAlignment="1" applyProtection="1">
      <alignment horizontal="right"/>
      <protection locked="0"/>
    </xf>
    <xf numFmtId="3" fontId="41" fillId="42" borderId="84" xfId="22" applyNumberFormat="1" applyFont="1" applyFill="1" applyBorder="1" applyAlignment="1">
      <alignment horizontal="right"/>
    </xf>
    <xf numFmtId="3" fontId="41" fillId="35" borderId="1" xfId="15" applyNumberFormat="1" applyFont="1" applyFill="1" applyBorder="1" applyAlignment="1">
      <alignment horizontal="right"/>
    </xf>
    <xf numFmtId="0" fontId="9" fillId="16" borderId="3" xfId="0" applyFont="1" applyFill="1" applyBorder="1" applyAlignment="1">
      <alignment horizontal="left" wrapText="1"/>
    </xf>
    <xf numFmtId="0" fontId="2" fillId="26" borderId="3" xfId="0" applyFont="1" applyFill="1" applyBorder="1" applyAlignment="1">
      <alignment horizontal="left" wrapText="1"/>
    </xf>
    <xf numFmtId="3" fontId="41" fillId="35" borderId="1" xfId="15" applyNumberFormat="1" applyFont="1" applyFill="1" applyBorder="1" applyAlignment="1">
      <alignment horizontal="right" vertical="center"/>
    </xf>
    <xf numFmtId="0" fontId="85" fillId="0" borderId="2" xfId="0" applyFont="1" applyBorder="1" applyAlignment="1">
      <alignment horizontal="center" vertical="center"/>
    </xf>
    <xf numFmtId="0" fontId="2" fillId="0" borderId="5" xfId="0" applyFont="1" applyBorder="1"/>
    <xf numFmtId="0" fontId="2" fillId="0" borderId="19" xfId="0" applyFont="1" applyBorder="1"/>
    <xf numFmtId="0" fontId="2" fillId="0" borderId="2" xfId="0" applyFont="1" applyBorder="1"/>
    <xf numFmtId="0" fontId="85" fillId="0" borderId="0" xfId="22" applyFont="1"/>
    <xf numFmtId="0" fontId="2" fillId="32" borderId="87" xfId="22" applyFont="1" applyFill="1" applyBorder="1"/>
    <xf numFmtId="0" fontId="3" fillId="32" borderId="87" xfId="22" applyFont="1" applyFill="1" applyBorder="1" applyAlignment="1">
      <alignment textRotation="90" wrapText="1"/>
    </xf>
    <xf numFmtId="0" fontId="2" fillId="39" borderId="85" xfId="22" applyFont="1" applyFill="1" applyBorder="1"/>
    <xf numFmtId="170" fontId="2" fillId="40" borderId="90" xfId="2" applyNumberFormat="1" applyFont="1" applyFill="1" applyBorder="1"/>
    <xf numFmtId="0" fontId="2" fillId="39" borderId="87" xfId="22" applyFont="1" applyFill="1" applyBorder="1"/>
    <xf numFmtId="0" fontId="2" fillId="43" borderId="87" xfId="22" applyFont="1" applyFill="1" applyBorder="1"/>
    <xf numFmtId="0" fontId="41" fillId="44" borderId="6" xfId="0" applyFont="1" applyFill="1" applyBorder="1" applyAlignment="1">
      <alignment horizontal="center" vertical="center" wrapText="1"/>
    </xf>
    <xf numFmtId="0" fontId="85" fillId="2" borderId="0" xfId="22" applyFont="1" applyFill="1"/>
    <xf numFmtId="0" fontId="85" fillId="32" borderId="1" xfId="0" applyFont="1" applyFill="1" applyBorder="1" applyAlignment="1">
      <alignment wrapText="1"/>
    </xf>
    <xf numFmtId="170" fontId="85" fillId="0" borderId="1" xfId="2" applyNumberFormat="1" applyFont="1" applyFill="1" applyBorder="1" applyAlignment="1" applyProtection="1">
      <alignment horizontal="left" wrapText="1"/>
      <protection locked="0"/>
    </xf>
    <xf numFmtId="170" fontId="85" fillId="36" borderId="1" xfId="2" applyNumberFormat="1" applyFont="1" applyFill="1" applyBorder="1" applyAlignment="1" applyProtection="1">
      <alignment horizontal="left" wrapText="1"/>
      <protection locked="0"/>
    </xf>
    <xf numFmtId="0" fontId="85" fillId="35" borderId="4" xfId="0" applyFont="1" applyFill="1" applyBorder="1" applyAlignment="1">
      <alignment horizontal="left" vertical="center" wrapText="1"/>
    </xf>
    <xf numFmtId="0" fontId="85" fillId="35" borderId="8" xfId="0" applyFont="1" applyFill="1" applyBorder="1" applyAlignment="1">
      <alignment horizontal="left" vertical="center" wrapText="1"/>
    </xf>
    <xf numFmtId="0" fontId="85" fillId="35" borderId="14" xfId="0" applyFont="1" applyFill="1" applyBorder="1" applyAlignment="1">
      <alignment horizontal="left" vertical="center" wrapText="1"/>
    </xf>
    <xf numFmtId="0" fontId="85" fillId="35" borderId="6" xfId="0" applyFont="1" applyFill="1" applyBorder="1" applyAlignment="1">
      <alignment horizontal="left" vertical="center" wrapText="1"/>
    </xf>
    <xf numFmtId="3" fontId="41" fillId="34" borderId="96" xfId="22" applyNumberFormat="1" applyFont="1" applyFill="1" applyBorder="1" applyAlignment="1" applyProtection="1">
      <alignment horizontal="right"/>
      <protection locked="0"/>
    </xf>
    <xf numFmtId="3" fontId="41" fillId="34" borderId="1" xfId="22" applyNumberFormat="1" applyFont="1" applyFill="1" applyBorder="1" applyAlignment="1" applyProtection="1">
      <alignment horizontal="right"/>
      <protection locked="0"/>
    </xf>
    <xf numFmtId="3" fontId="41" fillId="33" borderId="1" xfId="22" applyNumberFormat="1" applyFont="1" applyFill="1" applyBorder="1" applyAlignment="1">
      <alignment horizontal="right" vertical="center"/>
    </xf>
    <xf numFmtId="3" fontId="9" fillId="25" borderId="1" xfId="0" applyNumberFormat="1" applyFont="1" applyFill="1" applyBorder="1" applyAlignment="1">
      <alignment horizontal="center" wrapText="1"/>
    </xf>
    <xf numFmtId="0" fontId="9" fillId="25" borderId="1" xfId="0" applyFont="1" applyFill="1" applyBorder="1" applyAlignment="1">
      <alignment horizontal="center" wrapText="1"/>
    </xf>
    <xf numFmtId="41" fontId="9" fillId="38" borderId="1" xfId="3" applyFont="1" applyFill="1" applyBorder="1" applyAlignment="1">
      <alignment horizontal="left" vertical="center" wrapText="1"/>
    </xf>
    <xf numFmtId="41" fontId="9" fillId="46" borderId="1" xfId="3" applyFont="1" applyFill="1" applyBorder="1" applyAlignment="1">
      <alignment horizontal="left" vertical="center" wrapText="1"/>
    </xf>
    <xf numFmtId="187" fontId="0" fillId="0" borderId="0" xfId="8" applyNumberFormat="1" applyFont="1"/>
    <xf numFmtId="10" fontId="0" fillId="0" borderId="0" xfId="0" applyNumberFormat="1"/>
    <xf numFmtId="10" fontId="9" fillId="2" borderId="0" xfId="0" applyNumberFormat="1" applyFont="1" applyFill="1"/>
    <xf numFmtId="43" fontId="0" fillId="0" borderId="0" xfId="2" applyFont="1"/>
    <xf numFmtId="43" fontId="0" fillId="0" borderId="0" xfId="0" applyNumberFormat="1"/>
    <xf numFmtId="43" fontId="19" fillId="0" borderId="0" xfId="0" applyNumberFormat="1" applyFont="1"/>
    <xf numFmtId="43" fontId="20" fillId="2" borderId="0" xfId="2" applyFont="1" applyFill="1"/>
    <xf numFmtId="8" fontId="20" fillId="2" borderId="0" xfId="2" applyNumberFormat="1" applyFont="1" applyFill="1"/>
    <xf numFmtId="170" fontId="9" fillId="2" borderId="0" xfId="0" applyNumberFormat="1" applyFont="1" applyFill="1"/>
    <xf numFmtId="0" fontId="9" fillId="3" borderId="0" xfId="0" applyFont="1" applyFill="1" applyAlignment="1">
      <alignment wrapText="1"/>
    </xf>
    <xf numFmtId="0" fontId="9" fillId="3" borderId="3" xfId="0" applyFont="1" applyFill="1" applyBorder="1" applyAlignment="1">
      <alignment wrapText="1"/>
    </xf>
    <xf numFmtId="177" fontId="2" fillId="0" borderId="3" xfId="7" applyNumberFormat="1" applyFont="1" applyBorder="1"/>
    <xf numFmtId="0" fontId="2" fillId="0" borderId="0" xfId="0" applyFont="1" applyAlignment="1">
      <alignment horizontal="center"/>
    </xf>
    <xf numFmtId="0" fontId="48" fillId="3" borderId="17" xfId="18" applyFont="1" applyFill="1" applyBorder="1" applyAlignment="1" applyProtection="1">
      <alignment horizontal="center"/>
      <protection locked="0"/>
    </xf>
    <xf numFmtId="0" fontId="48" fillId="3" borderId="9" xfId="18" applyFont="1" applyFill="1" applyBorder="1" applyAlignment="1" applyProtection="1">
      <alignment horizontal="center"/>
      <protection locked="0"/>
    </xf>
    <xf numFmtId="0" fontId="48" fillId="3" borderId="0" xfId="18" applyFont="1" applyFill="1" applyAlignment="1">
      <alignment horizontal="center" vertical="center" wrapText="1"/>
    </xf>
    <xf numFmtId="0" fontId="48" fillId="3" borderId="15" xfId="18" applyFont="1" applyFill="1" applyBorder="1" applyAlignment="1">
      <alignment horizontal="left" vertical="center" wrapText="1"/>
    </xf>
    <xf numFmtId="0" fontId="48" fillId="3" borderId="0" xfId="18" applyFont="1" applyFill="1" applyAlignment="1">
      <alignment horizontal="left" vertical="center" wrapText="1"/>
    </xf>
    <xf numFmtId="0" fontId="48" fillId="3" borderId="16" xfId="18" applyFont="1" applyFill="1" applyBorder="1" applyAlignment="1">
      <alignment horizontal="left" vertical="center" wrapText="1"/>
    </xf>
    <xf numFmtId="0" fontId="48" fillId="3" borderId="15" xfId="18" applyFont="1" applyFill="1" applyBorder="1" applyAlignment="1">
      <alignment horizontal="left" vertical="top" wrapText="1"/>
    </xf>
    <xf numFmtId="0" fontId="48" fillId="3" borderId="0" xfId="18" applyFont="1" applyFill="1" applyAlignment="1">
      <alignment horizontal="left" vertical="top" wrapText="1"/>
    </xf>
    <xf numFmtId="170" fontId="51" fillId="0" borderId="3" xfId="18" applyNumberFormat="1" applyFont="1" applyBorder="1" applyAlignment="1" applyProtection="1">
      <alignment horizontal="center"/>
      <protection locked="0"/>
    </xf>
    <xf numFmtId="0" fontId="51" fillId="0" borderId="4" xfId="18" applyFont="1" applyBorder="1" applyAlignment="1" applyProtection="1">
      <alignment horizontal="center"/>
      <protection locked="0"/>
    </xf>
    <xf numFmtId="0" fontId="51" fillId="0" borderId="8" xfId="18" applyFont="1" applyBorder="1" applyAlignment="1" applyProtection="1">
      <alignment horizontal="center"/>
      <protection locked="0"/>
    </xf>
    <xf numFmtId="0" fontId="65" fillId="3" borderId="15" xfId="7" applyFont="1" applyFill="1" applyBorder="1" applyAlignment="1">
      <alignment horizontal="left" vertical="top" wrapText="1"/>
    </xf>
    <xf numFmtId="0" fontId="65" fillId="3" borderId="0" xfId="7" applyFont="1" applyFill="1" applyAlignment="1">
      <alignment horizontal="left" vertical="top" wrapText="1"/>
    </xf>
    <xf numFmtId="0" fontId="65" fillId="3" borderId="0" xfId="7" applyFont="1" applyFill="1" applyAlignment="1">
      <alignment horizontal="center" vertical="center" wrapText="1"/>
    </xf>
    <xf numFmtId="0" fontId="65" fillId="3" borderId="16" xfId="7" applyFont="1" applyFill="1" applyBorder="1" applyAlignment="1">
      <alignment horizontal="center" vertical="center" wrapText="1"/>
    </xf>
    <xf numFmtId="3" fontId="64" fillId="14" borderId="0" xfId="7" applyNumberFormat="1" applyFont="1" applyFill="1" applyProtection="1">
      <protection locked="0" hidden="1"/>
    </xf>
    <xf numFmtId="3" fontId="64" fillId="14" borderId="47" xfId="7" applyNumberFormat="1" applyFont="1" applyFill="1" applyBorder="1" applyProtection="1">
      <protection locked="0" hidden="1"/>
    </xf>
    <xf numFmtId="0" fontId="31" fillId="5" borderId="0" xfId="18" applyFont="1" applyFill="1" applyAlignment="1">
      <alignment horizontal="left" vertical="center" wrapText="1"/>
    </xf>
    <xf numFmtId="0" fontId="31" fillId="5" borderId="16" xfId="18" applyFont="1" applyFill="1" applyBorder="1" applyAlignment="1">
      <alignment horizontal="left" vertical="center" wrapText="1"/>
    </xf>
    <xf numFmtId="173" fontId="49" fillId="5" borderId="15" xfId="20" applyNumberFormat="1" applyFont="1" applyFill="1" applyBorder="1" applyAlignment="1">
      <alignment horizontal="center" vertical="center"/>
    </xf>
    <xf numFmtId="173" fontId="49" fillId="5" borderId="0" xfId="20" applyNumberFormat="1" applyFont="1" applyFill="1" applyBorder="1" applyAlignment="1">
      <alignment horizontal="center" vertical="center"/>
    </xf>
    <xf numFmtId="173" fontId="49" fillId="5" borderId="16" xfId="20" applyNumberFormat="1" applyFont="1" applyFill="1" applyBorder="1" applyAlignment="1">
      <alignment horizontal="center" vertical="center"/>
    </xf>
    <xf numFmtId="0" fontId="65" fillId="5" borderId="13" xfId="18" applyFont="1" applyFill="1" applyBorder="1" applyAlignment="1" applyProtection="1">
      <alignment horizontal="left" vertical="center" wrapText="1"/>
      <protection locked="0"/>
    </xf>
    <xf numFmtId="0" fontId="65" fillId="5" borderId="14" xfId="18" applyFont="1" applyFill="1" applyBorder="1" applyAlignment="1" applyProtection="1">
      <alignment horizontal="left" vertical="center" wrapText="1"/>
      <protection locked="0"/>
    </xf>
    <xf numFmtId="0" fontId="65" fillId="5" borderId="6" xfId="18" applyFont="1" applyFill="1" applyBorder="1" applyAlignment="1" applyProtection="1">
      <alignment horizontal="left" vertical="center" wrapText="1"/>
      <protection locked="0"/>
    </xf>
    <xf numFmtId="170" fontId="20" fillId="5" borderId="13" xfId="17" applyNumberFormat="1" applyFont="1" applyFill="1" applyBorder="1" applyAlignment="1" applyProtection="1">
      <alignment horizontal="center"/>
      <protection locked="0"/>
    </xf>
    <xf numFmtId="170" fontId="20" fillId="5" borderId="14" xfId="17" applyNumberFormat="1" applyFont="1" applyFill="1" applyBorder="1" applyAlignment="1" applyProtection="1">
      <alignment horizontal="center"/>
      <protection locked="0"/>
    </xf>
    <xf numFmtId="170" fontId="20" fillId="5" borderId="6" xfId="17" applyNumberFormat="1" applyFont="1" applyFill="1" applyBorder="1" applyAlignment="1" applyProtection="1">
      <alignment horizontal="center"/>
      <protection locked="0"/>
    </xf>
    <xf numFmtId="0" fontId="37" fillId="14" borderId="9" xfId="18" applyFont="1" applyFill="1" applyBorder="1" applyAlignment="1">
      <alignment horizontal="left" vertical="center" wrapText="1"/>
    </xf>
    <xf numFmtId="173" fontId="51" fillId="0" borderId="17" xfId="20" applyNumberFormat="1" applyFont="1" applyFill="1" applyBorder="1" applyAlignment="1">
      <alignment horizontal="center" vertical="center"/>
    </xf>
    <xf numFmtId="173" fontId="51" fillId="0" borderId="9" xfId="20" applyNumberFormat="1" applyFont="1" applyFill="1" applyBorder="1" applyAlignment="1">
      <alignment horizontal="center" vertical="center"/>
    </xf>
    <xf numFmtId="173" fontId="51" fillId="0" borderId="7" xfId="20" applyNumberFormat="1" applyFont="1" applyFill="1" applyBorder="1" applyAlignment="1">
      <alignment horizontal="center" vertical="center"/>
    </xf>
    <xf numFmtId="0" fontId="48" fillId="14" borderId="17" xfId="18" applyFont="1" applyFill="1" applyBorder="1" applyAlignment="1" applyProtection="1">
      <alignment horizontal="center" vertical="center" wrapText="1"/>
      <protection locked="0"/>
    </xf>
    <xf numFmtId="0" fontId="48" fillId="14" borderId="9" xfId="18" applyFont="1" applyFill="1" applyBorder="1" applyAlignment="1" applyProtection="1">
      <alignment horizontal="center" vertical="center" wrapText="1"/>
      <protection locked="0"/>
    </xf>
    <xf numFmtId="0" fontId="48" fillId="14" borderId="7" xfId="18" applyFont="1" applyFill="1" applyBorder="1" applyAlignment="1" applyProtection="1">
      <alignment horizontal="center" vertical="center" wrapText="1"/>
      <protection locked="0"/>
    </xf>
    <xf numFmtId="170" fontId="49" fillId="14" borderId="15" xfId="17" applyNumberFormat="1" applyFont="1" applyFill="1" applyBorder="1" applyAlignment="1" applyProtection="1">
      <alignment horizontal="center"/>
      <protection locked="0"/>
    </xf>
    <xf numFmtId="170" fontId="49" fillId="14" borderId="0" xfId="17" applyNumberFormat="1" applyFont="1" applyFill="1" applyBorder="1" applyAlignment="1" applyProtection="1">
      <alignment horizontal="center"/>
      <protection locked="0"/>
    </xf>
    <xf numFmtId="170" fontId="49" fillId="14" borderId="16" xfId="17" applyNumberFormat="1" applyFont="1" applyFill="1" applyBorder="1" applyAlignment="1" applyProtection="1">
      <alignment horizontal="center"/>
      <protection locked="0"/>
    </xf>
    <xf numFmtId="173" fontId="51" fillId="5" borderId="0" xfId="20" applyNumberFormat="1" applyFont="1" applyFill="1" applyBorder="1" applyAlignment="1">
      <alignment horizontal="center" vertical="center"/>
    </xf>
    <xf numFmtId="173" fontId="51" fillId="5" borderId="16" xfId="20" applyNumberFormat="1" applyFont="1" applyFill="1" applyBorder="1" applyAlignment="1">
      <alignment horizontal="center" vertical="center"/>
    </xf>
    <xf numFmtId="0" fontId="37" fillId="5" borderId="37" xfId="18" applyFont="1" applyFill="1" applyBorder="1" applyAlignment="1">
      <alignment horizontal="left" vertical="top" wrapText="1"/>
    </xf>
    <xf numFmtId="0" fontId="37" fillId="5" borderId="38" xfId="18" applyFont="1" applyFill="1" applyBorder="1" applyAlignment="1">
      <alignment horizontal="left" vertical="top" wrapText="1"/>
    </xf>
    <xf numFmtId="0" fontId="37" fillId="5" borderId="39" xfId="18" applyFont="1" applyFill="1" applyBorder="1" applyAlignment="1">
      <alignment horizontal="left" vertical="top" wrapText="1"/>
    </xf>
    <xf numFmtId="170" fontId="51" fillId="5" borderId="15" xfId="17" applyNumberFormat="1" applyFont="1" applyFill="1" applyBorder="1" applyAlignment="1">
      <alignment horizontal="center"/>
    </xf>
    <xf numFmtId="170" fontId="51" fillId="5" borderId="0" xfId="17" applyNumberFormat="1" applyFont="1" applyFill="1" applyBorder="1" applyAlignment="1">
      <alignment horizontal="center"/>
    </xf>
    <xf numFmtId="170" fontId="51" fillId="5" borderId="16" xfId="17" applyNumberFormat="1" applyFont="1" applyFill="1" applyBorder="1" applyAlignment="1">
      <alignment horizontal="center"/>
    </xf>
    <xf numFmtId="0" fontId="40" fillId="0" borderId="17" xfId="18" applyFont="1" applyBorder="1" applyAlignment="1">
      <alignment vertical="center" wrapText="1"/>
    </xf>
    <xf numFmtId="0" fontId="40" fillId="0" borderId="9" xfId="18" applyFont="1" applyBorder="1" applyAlignment="1">
      <alignment vertical="center" wrapText="1"/>
    </xf>
    <xf numFmtId="0" fontId="53" fillId="14" borderId="17" xfId="18" applyFont="1" applyFill="1" applyBorder="1" applyAlignment="1">
      <alignment horizontal="left" vertical="center" wrapText="1"/>
    </xf>
    <xf numFmtId="0" fontId="31" fillId="14" borderId="9" xfId="18" applyFont="1" applyFill="1" applyBorder="1" applyAlignment="1">
      <alignment horizontal="left" vertical="center" wrapText="1"/>
    </xf>
    <xf numFmtId="170" fontId="51" fillId="14" borderId="17" xfId="17" applyNumberFormat="1" applyFont="1" applyFill="1" applyBorder="1" applyAlignment="1">
      <alignment horizontal="center"/>
    </xf>
    <xf numFmtId="170" fontId="51" fillId="14" borderId="9" xfId="17" applyNumberFormat="1" applyFont="1" applyFill="1" applyBorder="1" applyAlignment="1">
      <alignment horizontal="center"/>
    </xf>
    <xf numFmtId="170" fontId="51" fillId="14" borderId="7" xfId="17" applyNumberFormat="1" applyFont="1" applyFill="1" applyBorder="1" applyAlignment="1">
      <alignment horizontal="center"/>
    </xf>
    <xf numFmtId="0" fontId="37" fillId="14" borderId="5" xfId="18" applyFont="1" applyFill="1" applyBorder="1" applyAlignment="1">
      <alignment horizontal="center" vertical="center" textRotation="90" wrapText="1"/>
    </xf>
    <xf numFmtId="0" fontId="37" fillId="14" borderId="19" xfId="18" applyFont="1" applyFill="1" applyBorder="1" applyAlignment="1">
      <alignment horizontal="center" vertical="center" textRotation="90" wrapText="1"/>
    </xf>
    <xf numFmtId="0" fontId="37" fillId="14" borderId="2" xfId="18" applyFont="1" applyFill="1" applyBorder="1" applyAlignment="1">
      <alignment horizontal="center" vertical="center" textRotation="90" wrapText="1"/>
    </xf>
    <xf numFmtId="0" fontId="31" fillId="5" borderId="14" xfId="18" applyFont="1" applyFill="1" applyBorder="1" applyAlignment="1" applyProtection="1">
      <alignment horizontal="left" vertical="center" wrapText="1"/>
      <protection locked="0"/>
    </xf>
    <xf numFmtId="0" fontId="37" fillId="5" borderId="37" xfId="18" applyFont="1" applyFill="1" applyBorder="1" applyAlignment="1">
      <alignment horizontal="left" vertical="center" wrapText="1"/>
    </xf>
    <xf numFmtId="0" fontId="31" fillId="5" borderId="38" xfId="18" applyFont="1" applyFill="1" applyBorder="1" applyAlignment="1">
      <alignment horizontal="left" vertical="center" wrapText="1"/>
    </xf>
    <xf numFmtId="0" fontId="31" fillId="5" borderId="39" xfId="18" applyFont="1" applyFill="1" applyBorder="1" applyAlignment="1">
      <alignment horizontal="left" vertical="center" wrapText="1"/>
    </xf>
    <xf numFmtId="0" fontId="48" fillId="0" borderId="0" xfId="18" applyFont="1" applyAlignment="1">
      <alignment vertical="center" wrapText="1"/>
    </xf>
    <xf numFmtId="170" fontId="49" fillId="0" borderId="0" xfId="17" applyNumberFormat="1" applyFont="1" applyFill="1" applyBorder="1" applyAlignment="1">
      <alignment horizontal="center"/>
    </xf>
    <xf numFmtId="170" fontId="49" fillId="0" borderId="16" xfId="17" applyNumberFormat="1" applyFont="1" applyFill="1" applyBorder="1" applyAlignment="1">
      <alignment horizontal="center"/>
    </xf>
    <xf numFmtId="0" fontId="31" fillId="14" borderId="37" xfId="18" applyFont="1" applyFill="1" applyBorder="1" applyAlignment="1">
      <alignment horizontal="left" vertical="center"/>
    </xf>
    <xf numFmtId="0" fontId="31" fillId="14" borderId="38" xfId="18" applyFont="1" applyFill="1" applyBorder="1" applyAlignment="1">
      <alignment horizontal="left" vertical="center"/>
    </xf>
    <xf numFmtId="0" fontId="31" fillId="14" borderId="39" xfId="18" applyFont="1" applyFill="1" applyBorder="1" applyAlignment="1">
      <alignment horizontal="left" vertical="center"/>
    </xf>
    <xf numFmtId="0" fontId="40" fillId="5" borderId="0" xfId="18" applyFont="1" applyFill="1" applyAlignment="1">
      <alignment vertical="center" wrapText="1"/>
    </xf>
    <xf numFmtId="0" fontId="50" fillId="14" borderId="19" xfId="18" applyFont="1" applyFill="1" applyBorder="1" applyAlignment="1">
      <alignment horizontal="center" vertical="center" textRotation="90" wrapText="1"/>
    </xf>
    <xf numFmtId="0" fontId="50" fillId="14" borderId="2" xfId="18" applyFont="1" applyFill="1" applyBorder="1" applyAlignment="1">
      <alignment horizontal="center" vertical="center" textRotation="90" wrapText="1"/>
    </xf>
    <xf numFmtId="0" fontId="31" fillId="14" borderId="15" xfId="18" applyFont="1" applyFill="1" applyBorder="1" applyAlignment="1">
      <alignment horizontal="left" vertical="center" wrapText="1"/>
    </xf>
    <xf numFmtId="0" fontId="31" fillId="14" borderId="0" xfId="18" applyFont="1" applyFill="1" applyAlignment="1">
      <alignment horizontal="left" vertical="center" wrapText="1"/>
    </xf>
    <xf numFmtId="0" fontId="31" fillId="14" borderId="16" xfId="18" applyFont="1" applyFill="1" applyBorder="1" applyAlignment="1">
      <alignment horizontal="left" vertical="center" wrapText="1"/>
    </xf>
    <xf numFmtId="170" fontId="49" fillId="14" borderId="15" xfId="17" applyNumberFormat="1" applyFont="1" applyFill="1" applyBorder="1" applyAlignment="1">
      <alignment horizontal="center"/>
    </xf>
    <xf numFmtId="170" fontId="49" fillId="14" borderId="0" xfId="17" applyNumberFormat="1" applyFont="1" applyFill="1" applyBorder="1" applyAlignment="1">
      <alignment horizontal="center"/>
    </xf>
    <xf numFmtId="170" fontId="49" fillId="14" borderId="16" xfId="17" applyNumberFormat="1" applyFont="1" applyFill="1" applyBorder="1" applyAlignment="1">
      <alignment horizontal="center"/>
    </xf>
    <xf numFmtId="0" fontId="40" fillId="0" borderId="1" xfId="18" applyFont="1" applyBorder="1" applyAlignment="1" applyProtection="1">
      <alignment horizontal="center" vertical="center" textRotation="90" wrapText="1"/>
      <protection locked="0"/>
    </xf>
    <xf numFmtId="0" fontId="31" fillId="5" borderId="14" xfId="18" applyFont="1" applyFill="1" applyBorder="1" applyAlignment="1" applyProtection="1">
      <alignment vertical="center" wrapText="1"/>
      <protection locked="0"/>
    </xf>
    <xf numFmtId="0" fontId="31" fillId="5" borderId="6" xfId="18" applyFont="1" applyFill="1" applyBorder="1" applyAlignment="1" applyProtection="1">
      <alignment vertical="center" wrapText="1"/>
      <protection locked="0"/>
    </xf>
    <xf numFmtId="0" fontId="31" fillId="5" borderId="15" xfId="18" applyFont="1" applyFill="1" applyBorder="1" applyAlignment="1">
      <alignment horizontal="left" vertical="center" wrapText="1"/>
    </xf>
    <xf numFmtId="170" fontId="49" fillId="5" borderId="15" xfId="17" applyNumberFormat="1" applyFont="1" applyFill="1" applyBorder="1" applyAlignment="1">
      <alignment horizontal="center"/>
    </xf>
    <xf numFmtId="170" fontId="49" fillId="5" borderId="0" xfId="17" applyNumberFormat="1" applyFont="1" applyFill="1" applyBorder="1" applyAlignment="1">
      <alignment horizontal="center"/>
    </xf>
    <xf numFmtId="170" fontId="49" fillId="5" borderId="16" xfId="17" applyNumberFormat="1" applyFont="1" applyFill="1" applyBorder="1" applyAlignment="1">
      <alignment horizontal="center"/>
    </xf>
    <xf numFmtId="0" fontId="31" fillId="14" borderId="9" xfId="18" applyFont="1" applyFill="1" applyBorder="1" applyAlignment="1" applyProtection="1">
      <alignment vertical="center" wrapText="1"/>
      <protection locked="0"/>
    </xf>
    <xf numFmtId="0" fontId="31" fillId="14" borderId="7" xfId="18" applyFont="1" applyFill="1" applyBorder="1" applyAlignment="1" applyProtection="1">
      <alignment vertical="center" wrapText="1"/>
      <protection locked="0"/>
    </xf>
    <xf numFmtId="173" fontId="49" fillId="14" borderId="17" xfId="20" applyNumberFormat="1" applyFont="1" applyFill="1" applyBorder="1" applyAlignment="1">
      <alignment horizontal="right" vertical="center"/>
    </xf>
    <xf numFmtId="173" fontId="49" fillId="14" borderId="9" xfId="20" applyNumberFormat="1" applyFont="1" applyFill="1" applyBorder="1" applyAlignment="1">
      <alignment horizontal="right" vertical="center"/>
    </xf>
    <xf numFmtId="173" fontId="49" fillId="14" borderId="7" xfId="20" applyNumberFormat="1" applyFont="1" applyFill="1" applyBorder="1" applyAlignment="1">
      <alignment horizontal="right" vertical="center"/>
    </xf>
    <xf numFmtId="0" fontId="31" fillId="14" borderId="17" xfId="18" applyFont="1" applyFill="1" applyBorder="1" applyAlignment="1">
      <alignment horizontal="left" vertical="center" wrapText="1"/>
    </xf>
    <xf numFmtId="0" fontId="31" fillId="14" borderId="7" xfId="18" applyFont="1" applyFill="1" applyBorder="1" applyAlignment="1">
      <alignment horizontal="left" vertical="center" wrapText="1"/>
    </xf>
    <xf numFmtId="170" fontId="49" fillId="14" borderId="17" xfId="17" applyNumberFormat="1" applyFont="1" applyFill="1" applyBorder="1" applyAlignment="1">
      <alignment horizontal="center"/>
    </xf>
    <xf numFmtId="170" fontId="49" fillId="14" borderId="9" xfId="17" applyNumberFormat="1" applyFont="1" applyFill="1" applyBorder="1" applyAlignment="1">
      <alignment horizontal="center"/>
    </xf>
    <xf numFmtId="170" fontId="49" fillId="14" borderId="7" xfId="17" applyNumberFormat="1" applyFont="1" applyFill="1" applyBorder="1" applyAlignment="1">
      <alignment horizontal="center"/>
    </xf>
    <xf numFmtId="0" fontId="31" fillId="5" borderId="0" xfId="18" applyFont="1" applyFill="1" applyAlignment="1">
      <alignment horizontal="left" vertical="center"/>
    </xf>
    <xf numFmtId="0" fontId="31" fillId="14" borderId="0" xfId="18" applyFont="1" applyFill="1" applyAlignment="1">
      <alignment horizontal="left" vertical="center"/>
    </xf>
    <xf numFmtId="173" fontId="49" fillId="14" borderId="0" xfId="20" applyNumberFormat="1" applyFont="1" applyFill="1" applyBorder="1" applyAlignment="1">
      <alignment horizontal="center" vertical="center"/>
    </xf>
    <xf numFmtId="0" fontId="40" fillId="14" borderId="17" xfId="18" applyFont="1" applyFill="1" applyBorder="1" applyAlignment="1">
      <alignment horizontal="left" vertical="center" wrapText="1"/>
    </xf>
    <xf numFmtId="0" fontId="40" fillId="14" borderId="9" xfId="18" applyFont="1" applyFill="1" applyBorder="1" applyAlignment="1">
      <alignment horizontal="left" vertical="center" wrapText="1"/>
    </xf>
    <xf numFmtId="0" fontId="40" fillId="14" borderId="7" xfId="18" applyFont="1" applyFill="1" applyBorder="1" applyAlignment="1">
      <alignment horizontal="left" vertical="center" wrapText="1"/>
    </xf>
    <xf numFmtId="0" fontId="37" fillId="0" borderId="19" xfId="18" applyFont="1" applyBorder="1" applyAlignment="1">
      <alignment horizontal="center" vertical="center" textRotation="90" wrapText="1"/>
    </xf>
    <xf numFmtId="0" fontId="31" fillId="5" borderId="14" xfId="18" applyFont="1" applyFill="1" applyBorder="1" applyAlignment="1">
      <alignment horizontal="left" vertical="center"/>
    </xf>
    <xf numFmtId="0" fontId="48" fillId="5" borderId="17" xfId="18" applyFont="1" applyFill="1" applyBorder="1" applyAlignment="1">
      <alignment horizontal="left" vertical="center" wrapText="1"/>
    </xf>
    <xf numFmtId="0" fontId="48" fillId="5" borderId="9" xfId="18" applyFont="1" applyFill="1" applyBorder="1" applyAlignment="1">
      <alignment horizontal="left" vertical="center" wrapText="1"/>
    </xf>
    <xf numFmtId="0" fontId="48" fillId="5" borderId="7" xfId="18" applyFont="1" applyFill="1" applyBorder="1" applyAlignment="1">
      <alignment horizontal="left" vertical="center" wrapText="1"/>
    </xf>
    <xf numFmtId="170" fontId="49" fillId="5" borderId="17" xfId="17" applyNumberFormat="1" applyFont="1" applyFill="1" applyBorder="1" applyAlignment="1">
      <alignment horizontal="center"/>
    </xf>
    <xf numFmtId="170" fontId="49" fillId="5" borderId="9" xfId="17" applyNumberFormat="1" applyFont="1" applyFill="1" applyBorder="1" applyAlignment="1">
      <alignment horizontal="center"/>
    </xf>
    <xf numFmtId="170" fontId="49" fillId="5" borderId="7" xfId="17" applyNumberFormat="1" applyFont="1" applyFill="1" applyBorder="1" applyAlignment="1">
      <alignment horizontal="center"/>
    </xf>
    <xf numFmtId="0" fontId="48" fillId="14" borderId="19" xfId="18" applyFont="1" applyFill="1" applyBorder="1" applyAlignment="1">
      <alignment horizontal="center" vertical="center" textRotation="90"/>
    </xf>
    <xf numFmtId="0" fontId="48" fillId="14" borderId="2" xfId="18" applyFont="1" applyFill="1" applyBorder="1" applyAlignment="1">
      <alignment horizontal="center" vertical="center" textRotation="90"/>
    </xf>
    <xf numFmtId="0" fontId="31" fillId="5" borderId="3" xfId="18" applyFont="1" applyFill="1" applyBorder="1" applyAlignment="1">
      <alignment horizontal="left" vertical="center"/>
    </xf>
    <xf numFmtId="0" fontId="31" fillId="5" borderId="4" xfId="18" applyFont="1" applyFill="1" applyBorder="1" applyAlignment="1">
      <alignment horizontal="left" vertical="center"/>
    </xf>
    <xf numFmtId="170" fontId="49" fillId="5" borderId="3" xfId="17" applyNumberFormat="1" applyFont="1" applyFill="1" applyBorder="1" applyAlignment="1">
      <alignment horizontal="center"/>
    </xf>
    <xf numFmtId="170" fontId="49" fillId="5" borderId="4" xfId="17" applyNumberFormat="1" applyFont="1" applyFill="1" applyBorder="1" applyAlignment="1">
      <alignment horizontal="center"/>
    </xf>
    <xf numFmtId="170" fontId="49" fillId="5" borderId="8" xfId="17" applyNumberFormat="1" applyFont="1" applyFill="1" applyBorder="1" applyAlignment="1">
      <alignment horizontal="center"/>
    </xf>
    <xf numFmtId="0" fontId="37" fillId="14" borderId="17" xfId="18" applyFont="1" applyFill="1" applyBorder="1" applyAlignment="1">
      <alignment vertical="center" wrapText="1"/>
    </xf>
    <xf numFmtId="0" fontId="37" fillId="14" borderId="9" xfId="18" applyFont="1" applyFill="1" applyBorder="1" applyAlignment="1">
      <alignment vertical="center" wrapText="1"/>
    </xf>
    <xf numFmtId="173" fontId="51" fillId="14" borderId="9" xfId="20" applyNumberFormat="1" applyFont="1" applyFill="1" applyBorder="1" applyAlignment="1">
      <alignment horizontal="center" vertical="center"/>
    </xf>
    <xf numFmtId="173" fontId="51" fillId="14" borderId="7" xfId="20" applyNumberFormat="1" applyFont="1" applyFill="1" applyBorder="1" applyAlignment="1">
      <alignment horizontal="center" vertical="center"/>
    </xf>
    <xf numFmtId="0" fontId="48" fillId="5" borderId="0" xfId="18" applyFont="1" applyFill="1" applyAlignment="1">
      <alignment vertical="center" wrapText="1"/>
    </xf>
    <xf numFmtId="0" fontId="59" fillId="5" borderId="15" xfId="18" applyFont="1" applyFill="1" applyBorder="1" applyAlignment="1" applyProtection="1">
      <alignment horizontal="left" vertical="center" wrapText="1"/>
      <protection locked="0"/>
    </xf>
    <xf numFmtId="0" fontId="59" fillId="5" borderId="0" xfId="18" applyFont="1" applyFill="1" applyAlignment="1" applyProtection="1">
      <alignment horizontal="left" vertical="center" wrapText="1"/>
      <protection locked="0"/>
    </xf>
    <xf numFmtId="0" fontId="59" fillId="5" borderId="16" xfId="18" applyFont="1" applyFill="1" applyBorder="1" applyAlignment="1" applyProtection="1">
      <alignment horizontal="left" vertical="center" wrapText="1"/>
      <protection locked="0"/>
    </xf>
    <xf numFmtId="0" fontId="37" fillId="14" borderId="0" xfId="18" applyFont="1" applyFill="1" applyAlignment="1">
      <alignment vertical="center" wrapText="1"/>
    </xf>
    <xf numFmtId="173" fontId="51" fillId="14" borderId="17" xfId="20" applyNumberFormat="1" applyFont="1" applyFill="1" applyBorder="1" applyAlignment="1">
      <alignment horizontal="center" vertical="center"/>
    </xf>
    <xf numFmtId="0" fontId="37" fillId="5" borderId="0" xfId="18" applyFont="1" applyFill="1" applyAlignment="1">
      <alignment vertical="center" wrapText="1"/>
    </xf>
    <xf numFmtId="0" fontId="48" fillId="5" borderId="15" xfId="18" applyFont="1" applyFill="1" applyBorder="1" applyAlignment="1" applyProtection="1">
      <alignment horizontal="left" vertical="center" wrapText="1"/>
      <protection locked="0"/>
    </xf>
    <xf numFmtId="0" fontId="48" fillId="5" borderId="0" xfId="18" applyFont="1" applyFill="1" applyAlignment="1" applyProtection="1">
      <alignment horizontal="left" vertical="center" wrapText="1"/>
      <protection locked="0"/>
    </xf>
    <xf numFmtId="0" fontId="48" fillId="5" borderId="16" xfId="18" applyFont="1" applyFill="1" applyBorder="1" applyAlignment="1" applyProtection="1">
      <alignment horizontal="left" vertical="center" wrapText="1"/>
      <protection locked="0"/>
    </xf>
    <xf numFmtId="0" fontId="59" fillId="14" borderId="15" xfId="18" applyFont="1" applyFill="1" applyBorder="1" applyAlignment="1" applyProtection="1">
      <alignment horizontal="left" vertical="center" wrapText="1"/>
      <protection locked="0"/>
    </xf>
    <xf numFmtId="0" fontId="59" fillId="14" borderId="0" xfId="18" applyFont="1" applyFill="1" applyAlignment="1" applyProtection="1">
      <alignment horizontal="left" vertical="center" wrapText="1"/>
      <protection locked="0"/>
    </xf>
    <xf numFmtId="0" fontId="59" fillId="14" borderId="16" xfId="18" applyFont="1" applyFill="1" applyBorder="1" applyAlignment="1" applyProtection="1">
      <alignment horizontal="left" vertical="center" wrapText="1"/>
      <protection locked="0"/>
    </xf>
    <xf numFmtId="0" fontId="56" fillId="5" borderId="0" xfId="18" applyFont="1" applyFill="1" applyAlignment="1">
      <alignment horizontal="left" vertical="center" wrapText="1"/>
    </xf>
    <xf numFmtId="0" fontId="56" fillId="5" borderId="16" xfId="18" applyFont="1" applyFill="1" applyBorder="1" applyAlignment="1">
      <alignment horizontal="left" vertical="center" wrapText="1"/>
    </xf>
    <xf numFmtId="0" fontId="58" fillId="5" borderId="15" xfId="18" applyFont="1" applyFill="1" applyBorder="1" applyAlignment="1">
      <alignment horizontal="left" vertical="center" wrapText="1"/>
    </xf>
    <xf numFmtId="0" fontId="58" fillId="5" borderId="0" xfId="18" applyFont="1" applyFill="1" applyAlignment="1">
      <alignment horizontal="left" vertical="center" wrapText="1"/>
    </xf>
    <xf numFmtId="0" fontId="58" fillId="5" borderId="16" xfId="18" applyFont="1" applyFill="1" applyBorder="1" applyAlignment="1">
      <alignment horizontal="left" vertical="center" wrapText="1"/>
    </xf>
    <xf numFmtId="0" fontId="31" fillId="14" borderId="0" xfId="18" applyFont="1" applyFill="1" applyAlignment="1">
      <alignment vertical="center"/>
    </xf>
    <xf numFmtId="0" fontId="37" fillId="14" borderId="15" xfId="18" applyFont="1" applyFill="1" applyBorder="1" applyAlignment="1">
      <alignment horizontal="left" vertical="center"/>
    </xf>
    <xf numFmtId="0" fontId="37" fillId="14" borderId="0" xfId="18" applyFont="1" applyFill="1" applyAlignment="1">
      <alignment horizontal="left" vertical="center"/>
    </xf>
    <xf numFmtId="0" fontId="37" fillId="14" borderId="16" xfId="18" applyFont="1" applyFill="1" applyBorder="1" applyAlignment="1">
      <alignment horizontal="left" vertical="center"/>
    </xf>
    <xf numFmtId="170" fontId="51" fillId="14" borderId="15" xfId="17" applyNumberFormat="1" applyFont="1" applyFill="1" applyBorder="1" applyAlignment="1">
      <alignment horizontal="center"/>
    </xf>
    <xf numFmtId="170" fontId="51" fillId="14" borderId="0" xfId="17" applyNumberFormat="1" applyFont="1" applyFill="1" applyBorder="1" applyAlignment="1">
      <alignment horizontal="center"/>
    </xf>
    <xf numFmtId="170" fontId="51" fillId="14" borderId="16" xfId="17" applyNumberFormat="1" applyFont="1" applyFill="1" applyBorder="1" applyAlignment="1">
      <alignment horizontal="center"/>
    </xf>
    <xf numFmtId="0" fontId="55" fillId="5" borderId="0" xfId="7" applyFont="1" applyFill="1" applyAlignment="1" applyProtection="1">
      <alignment horizontal="left" vertical="center" wrapText="1"/>
      <protection locked="0"/>
    </xf>
    <xf numFmtId="0" fontId="55" fillId="5" borderId="16" xfId="7" applyFont="1" applyFill="1" applyBorder="1" applyAlignment="1" applyProtection="1">
      <alignment horizontal="left" vertical="center" wrapText="1"/>
      <protection locked="0"/>
    </xf>
    <xf numFmtId="0" fontId="37" fillId="5" borderId="15" xfId="18" applyFont="1" applyFill="1" applyBorder="1" applyAlignment="1">
      <alignment horizontal="left" vertical="center"/>
    </xf>
    <xf numFmtId="0" fontId="37" fillId="5" borderId="0" xfId="18" applyFont="1" applyFill="1" applyAlignment="1">
      <alignment horizontal="left" vertical="center"/>
    </xf>
    <xf numFmtId="0" fontId="37" fillId="5" borderId="16" xfId="18" applyFont="1" applyFill="1" applyBorder="1" applyAlignment="1">
      <alignment horizontal="left" vertical="center"/>
    </xf>
    <xf numFmtId="0" fontId="55" fillId="14" borderId="0" xfId="7" applyFont="1" applyFill="1" applyAlignment="1" applyProtection="1">
      <alignment vertical="center" wrapText="1"/>
      <protection locked="0"/>
    </xf>
    <xf numFmtId="0" fontId="55" fillId="14" borderId="16" xfId="7" applyFont="1" applyFill="1" applyBorder="1" applyAlignment="1" applyProtection="1">
      <alignment vertical="center" wrapText="1"/>
      <protection locked="0"/>
    </xf>
    <xf numFmtId="0" fontId="31" fillId="5" borderId="13" xfId="18" applyFont="1" applyFill="1" applyBorder="1" applyAlignment="1">
      <alignment horizontal="left" vertical="center"/>
    </xf>
    <xf numFmtId="0" fontId="31" fillId="5" borderId="6" xfId="18" applyFont="1" applyFill="1" applyBorder="1" applyAlignment="1">
      <alignment horizontal="left" vertical="center"/>
    </xf>
    <xf numFmtId="170" fontId="49" fillId="5" borderId="13" xfId="17" applyNumberFormat="1" applyFont="1" applyFill="1" applyBorder="1" applyAlignment="1">
      <alignment horizontal="center"/>
    </xf>
    <xf numFmtId="170" fontId="49" fillId="5" borderId="14" xfId="17" applyNumberFormat="1" applyFont="1" applyFill="1" applyBorder="1" applyAlignment="1">
      <alignment horizontal="center"/>
    </xf>
    <xf numFmtId="170" fontId="49" fillId="5" borderId="6" xfId="17" applyNumberFormat="1" applyFont="1" applyFill="1" applyBorder="1" applyAlignment="1">
      <alignment horizontal="center"/>
    </xf>
    <xf numFmtId="0" fontId="55" fillId="5" borderId="0" xfId="7" applyFont="1" applyFill="1" applyAlignment="1" applyProtection="1">
      <alignment vertical="center" wrapText="1"/>
      <protection locked="0"/>
    </xf>
    <xf numFmtId="0" fontId="55" fillId="5" borderId="16" xfId="7" applyFont="1" applyFill="1" applyBorder="1" applyAlignment="1" applyProtection="1">
      <alignment vertical="center" wrapText="1"/>
      <protection locked="0"/>
    </xf>
    <xf numFmtId="0" fontId="37" fillId="5" borderId="15" xfId="18" applyFont="1" applyFill="1" applyBorder="1" applyAlignment="1">
      <alignment horizontal="left" vertical="center" wrapText="1"/>
    </xf>
    <xf numFmtId="0" fontId="37" fillId="5" borderId="0" xfId="18" applyFont="1" applyFill="1" applyAlignment="1">
      <alignment horizontal="left" vertical="center" wrapText="1"/>
    </xf>
    <xf numFmtId="0" fontId="37" fillId="5" borderId="16" xfId="18" applyFont="1" applyFill="1" applyBorder="1" applyAlignment="1">
      <alignment horizontal="left" vertical="center" wrapText="1"/>
    </xf>
    <xf numFmtId="0" fontId="55" fillId="14" borderId="0" xfId="18" applyFont="1" applyFill="1" applyAlignment="1">
      <alignment horizontal="left" vertical="center" wrapText="1"/>
    </xf>
    <xf numFmtId="0" fontId="55" fillId="14" borderId="16" xfId="18" applyFont="1" applyFill="1" applyBorder="1" applyAlignment="1">
      <alignment horizontal="left" vertical="center" wrapText="1"/>
    </xf>
    <xf numFmtId="0" fontId="31" fillId="14" borderId="15" xfId="18" applyFont="1" applyFill="1" applyBorder="1" applyAlignment="1">
      <alignment horizontal="left" vertical="center"/>
    </xf>
    <xf numFmtId="0" fontId="31" fillId="14" borderId="16" xfId="18" applyFont="1" applyFill="1" applyBorder="1" applyAlignment="1">
      <alignment horizontal="left" vertical="center"/>
    </xf>
    <xf numFmtId="0" fontId="48" fillId="5" borderId="15" xfId="18" applyFont="1" applyFill="1" applyBorder="1" applyAlignment="1">
      <alignment horizontal="left" vertical="center" wrapText="1"/>
    </xf>
    <xf numFmtId="0" fontId="48" fillId="5" borderId="0" xfId="18" applyFont="1" applyFill="1" applyAlignment="1">
      <alignment horizontal="left" vertical="center" wrapText="1"/>
    </xf>
    <xf numFmtId="0" fontId="48" fillId="5" borderId="16" xfId="18" applyFont="1" applyFill="1" applyBorder="1" applyAlignment="1">
      <alignment horizontal="left" vertical="center" wrapText="1"/>
    </xf>
    <xf numFmtId="0" fontId="57" fillId="0" borderId="0" xfId="7" applyFont="1" applyAlignment="1" applyProtection="1">
      <alignment vertical="top" wrapText="1"/>
      <protection locked="0"/>
    </xf>
    <xf numFmtId="0" fontId="57" fillId="0" borderId="16" xfId="7" applyFont="1" applyBorder="1" applyAlignment="1" applyProtection="1">
      <alignment vertical="top" wrapText="1"/>
      <protection locked="0"/>
    </xf>
    <xf numFmtId="0" fontId="48" fillId="14" borderId="17" xfId="18" applyFont="1" applyFill="1" applyBorder="1" applyAlignment="1">
      <alignment horizontal="left" vertical="center" wrapText="1"/>
    </xf>
    <xf numFmtId="0" fontId="48" fillId="14" borderId="9" xfId="18" applyFont="1" applyFill="1" applyBorder="1" applyAlignment="1">
      <alignment horizontal="left" vertical="center" wrapText="1"/>
    </xf>
    <xf numFmtId="0" fontId="48" fillId="14" borderId="7" xfId="18" applyFont="1" applyFill="1" applyBorder="1" applyAlignment="1">
      <alignment horizontal="left" vertical="center" wrapText="1"/>
    </xf>
    <xf numFmtId="0" fontId="37" fillId="0" borderId="5" xfId="18" applyFont="1" applyBorder="1" applyAlignment="1">
      <alignment horizontal="center" vertical="center" textRotation="90" wrapText="1"/>
    </xf>
    <xf numFmtId="0" fontId="37" fillId="0" borderId="2" xfId="18" applyFont="1" applyBorder="1" applyAlignment="1">
      <alignment horizontal="center" vertical="center" textRotation="90" wrapText="1"/>
    </xf>
    <xf numFmtId="0" fontId="31" fillId="14" borderId="43" xfId="18" applyFont="1" applyFill="1" applyBorder="1" applyAlignment="1">
      <alignment vertical="center"/>
    </xf>
    <xf numFmtId="0" fontId="31" fillId="14" borderId="44" xfId="18" applyFont="1" applyFill="1" applyBorder="1" applyAlignment="1">
      <alignment vertical="center"/>
    </xf>
    <xf numFmtId="0" fontId="31" fillId="14" borderId="45" xfId="18" applyFont="1" applyFill="1" applyBorder="1" applyAlignment="1">
      <alignment vertical="center"/>
    </xf>
    <xf numFmtId="0" fontId="48" fillId="14" borderId="15" xfId="18" applyFont="1" applyFill="1" applyBorder="1" applyAlignment="1">
      <alignment horizontal="left" vertical="center" wrapText="1"/>
    </xf>
    <xf numFmtId="0" fontId="48" fillId="14" borderId="0" xfId="18" applyFont="1" applyFill="1" applyAlignment="1">
      <alignment horizontal="left" vertical="center" wrapText="1"/>
    </xf>
    <xf numFmtId="0" fontId="48" fillId="14" borderId="16" xfId="18" applyFont="1" applyFill="1" applyBorder="1" applyAlignment="1">
      <alignment horizontal="left" vertical="center" wrapText="1"/>
    </xf>
    <xf numFmtId="0" fontId="31" fillId="5" borderId="15" xfId="18" applyFont="1" applyFill="1" applyBorder="1" applyAlignment="1">
      <alignment horizontal="left" vertical="center"/>
    </xf>
    <xf numFmtId="0" fontId="31" fillId="5" borderId="37" xfId="18" applyFont="1" applyFill="1" applyBorder="1" applyAlignment="1">
      <alignment horizontal="left" vertical="center"/>
    </xf>
    <xf numFmtId="170" fontId="49" fillId="5" borderId="39" xfId="17" applyNumberFormat="1" applyFont="1" applyFill="1" applyBorder="1" applyAlignment="1">
      <alignment horizontal="center"/>
    </xf>
    <xf numFmtId="0" fontId="31" fillId="14" borderId="0" xfId="18" applyFont="1" applyFill="1" applyAlignment="1">
      <alignment vertical="center" wrapText="1"/>
    </xf>
    <xf numFmtId="0" fontId="53" fillId="14" borderId="17" xfId="18" applyFont="1" applyFill="1" applyBorder="1" applyAlignment="1">
      <alignment horizontal="left" vertical="center"/>
    </xf>
    <xf numFmtId="0" fontId="54" fillId="14" borderId="9" xfId="18" applyFont="1" applyFill="1" applyBorder="1" applyAlignment="1">
      <alignment horizontal="left" vertical="center"/>
    </xf>
    <xf numFmtId="0" fontId="54" fillId="14" borderId="40" xfId="18" applyFont="1" applyFill="1" applyBorder="1" applyAlignment="1">
      <alignment horizontal="left" vertical="center"/>
    </xf>
    <xf numFmtId="170" fontId="51" fillId="14" borderId="41" xfId="17" applyNumberFormat="1" applyFont="1" applyFill="1" applyBorder="1" applyAlignment="1">
      <alignment horizontal="center"/>
    </xf>
    <xf numFmtId="0" fontId="31" fillId="5" borderId="37" xfId="18" applyFont="1" applyFill="1" applyBorder="1" applyAlignment="1">
      <alignment vertical="center"/>
    </xf>
    <xf numFmtId="0" fontId="31" fillId="5" borderId="38" xfId="18" applyFont="1" applyFill="1" applyBorder="1" applyAlignment="1">
      <alignment vertical="center"/>
    </xf>
    <xf numFmtId="0" fontId="31" fillId="5" borderId="39" xfId="18" applyFont="1" applyFill="1" applyBorder="1" applyAlignment="1">
      <alignment vertical="center"/>
    </xf>
    <xf numFmtId="173" fontId="51" fillId="5" borderId="42" xfId="20" applyNumberFormat="1" applyFont="1" applyFill="1" applyBorder="1" applyAlignment="1">
      <alignment horizontal="center" vertical="center"/>
    </xf>
    <xf numFmtId="170" fontId="49" fillId="14" borderId="39" xfId="17" applyNumberFormat="1" applyFont="1" applyFill="1" applyBorder="1" applyAlignment="1">
      <alignment horizontal="center"/>
    </xf>
    <xf numFmtId="0" fontId="31" fillId="5" borderId="0" xfId="18" applyFont="1" applyFill="1" applyAlignment="1">
      <alignment vertical="center" wrapText="1"/>
    </xf>
    <xf numFmtId="0" fontId="40" fillId="14" borderId="15" xfId="18" applyFont="1" applyFill="1" applyBorder="1" applyAlignment="1">
      <alignment horizontal="left" vertical="center" wrapText="1"/>
    </xf>
    <xf numFmtId="0" fontId="40" fillId="14" borderId="0" xfId="18" applyFont="1" applyFill="1" applyAlignment="1">
      <alignment horizontal="left" vertical="center" wrapText="1"/>
    </xf>
    <xf numFmtId="0" fontId="40" fillId="14" borderId="16" xfId="18" applyFont="1" applyFill="1" applyBorder="1" applyAlignment="1">
      <alignment horizontal="left" vertical="center" wrapText="1"/>
    </xf>
    <xf numFmtId="0" fontId="31" fillId="5" borderId="0" xfId="18" applyFont="1" applyFill="1" applyAlignment="1">
      <alignment vertical="center"/>
    </xf>
    <xf numFmtId="173" fontId="49" fillId="14" borderId="15" xfId="20" applyNumberFormat="1" applyFont="1" applyFill="1" applyBorder="1" applyAlignment="1">
      <alignment horizontal="center" vertical="center"/>
    </xf>
    <xf numFmtId="173" fontId="49" fillId="14" borderId="16" xfId="20" applyNumberFormat="1" applyFont="1" applyFill="1" applyBorder="1" applyAlignment="1">
      <alignment horizontal="center" vertical="center"/>
    </xf>
    <xf numFmtId="0" fontId="48" fillId="0" borderId="3" xfId="18" applyFont="1" applyBorder="1" applyAlignment="1">
      <alignment horizontal="left" vertical="center" wrapText="1"/>
    </xf>
    <xf numFmtId="0" fontId="48" fillId="0" borderId="4" xfId="18" applyFont="1" applyBorder="1" applyAlignment="1">
      <alignment horizontal="left" vertical="center" wrapText="1"/>
    </xf>
    <xf numFmtId="170" fontId="31" fillId="0" borderId="3" xfId="2" applyNumberFormat="1" applyFont="1" applyFill="1" applyBorder="1" applyAlignment="1" applyProtection="1">
      <alignment horizontal="center" wrapText="1"/>
      <protection locked="0"/>
    </xf>
    <xf numFmtId="170" fontId="31" fillId="0" borderId="4" xfId="2" applyNumberFormat="1" applyFont="1" applyFill="1" applyBorder="1" applyAlignment="1" applyProtection="1">
      <alignment horizontal="center" wrapText="1"/>
      <protection locked="0"/>
    </xf>
    <xf numFmtId="170" fontId="31" fillId="0" borderId="8" xfId="2" applyNumberFormat="1" applyFont="1" applyFill="1" applyBorder="1" applyAlignment="1" applyProtection="1">
      <alignment horizontal="center" wrapText="1"/>
      <protection locked="0"/>
    </xf>
    <xf numFmtId="0" fontId="40" fillId="0" borderId="17" xfId="18" applyFont="1" applyBorder="1" applyAlignment="1">
      <alignment horizontal="left" vertical="center" wrapText="1"/>
    </xf>
    <xf numFmtId="0" fontId="40" fillId="0" borderId="9" xfId="18" applyFont="1" applyBorder="1" applyAlignment="1">
      <alignment horizontal="left" vertical="center" wrapText="1"/>
    </xf>
    <xf numFmtId="0" fontId="40" fillId="0" borderId="7" xfId="18" applyFont="1" applyBorder="1" applyAlignment="1">
      <alignment horizontal="left" vertical="center" wrapText="1"/>
    </xf>
    <xf numFmtId="0" fontId="48" fillId="0" borderId="9" xfId="18" applyFont="1" applyBorder="1" applyAlignment="1">
      <alignment horizontal="left" vertical="center" wrapText="1"/>
    </xf>
    <xf numFmtId="170" fontId="31" fillId="0" borderId="9" xfId="2" applyNumberFormat="1" applyFont="1" applyFill="1" applyBorder="1" applyAlignment="1" applyProtection="1">
      <alignment horizontal="center" vertical="center"/>
      <protection locked="0"/>
    </xf>
    <xf numFmtId="173" fontId="48" fillId="0" borderId="9" xfId="20" applyNumberFormat="1" applyFont="1" applyFill="1" applyBorder="1" applyAlignment="1">
      <alignment horizontal="left" vertical="center" wrapText="1"/>
    </xf>
    <xf numFmtId="173" fontId="31" fillId="0" borderId="9" xfId="20" applyNumberFormat="1" applyFont="1" applyFill="1" applyBorder="1" applyAlignment="1" applyProtection="1">
      <alignment horizontal="center" vertical="center" wrapText="1"/>
      <protection locked="0"/>
    </xf>
    <xf numFmtId="173" fontId="31" fillId="0" borderId="7" xfId="20" applyNumberFormat="1" applyFont="1" applyFill="1" applyBorder="1" applyAlignment="1" applyProtection="1">
      <alignment horizontal="center" vertical="center" wrapText="1"/>
      <protection locked="0"/>
    </xf>
    <xf numFmtId="0" fontId="48" fillId="0" borderId="3" xfId="18" applyFont="1" applyBorder="1" applyAlignment="1">
      <alignment horizontal="left" wrapText="1"/>
    </xf>
    <xf numFmtId="0" fontId="48" fillId="0" borderId="4" xfId="18" applyFont="1" applyBorder="1" applyAlignment="1">
      <alignment horizontal="left" wrapText="1"/>
    </xf>
    <xf numFmtId="0" fontId="48" fillId="0" borderId="3" xfId="18" applyFont="1" applyBorder="1" applyAlignment="1" applyProtection="1">
      <alignment horizontal="center"/>
      <protection locked="0"/>
    </xf>
    <xf numFmtId="0" fontId="48" fillId="0" borderId="4" xfId="18" applyFont="1" applyBorder="1" applyAlignment="1" applyProtection="1">
      <alignment horizontal="center"/>
      <protection locked="0"/>
    </xf>
    <xf numFmtId="0" fontId="48" fillId="0" borderId="3" xfId="18" applyFont="1" applyBorder="1" applyAlignment="1">
      <alignment horizontal="left" vertical="top" wrapText="1"/>
    </xf>
    <xf numFmtId="0" fontId="48" fillId="0" borderId="4" xfId="18" applyFont="1" applyBorder="1" applyAlignment="1">
      <alignment horizontal="left" vertical="top" wrapText="1"/>
    </xf>
    <xf numFmtId="0" fontId="48" fillId="0" borderId="8" xfId="18" applyFont="1" applyBorder="1" applyAlignment="1">
      <alignment horizontal="left" vertical="top" wrapText="1"/>
    </xf>
    <xf numFmtId="0" fontId="40" fillId="0" borderId="3" xfId="18" applyFont="1" applyBorder="1" applyAlignment="1" applyProtection="1">
      <alignment horizontal="center"/>
      <protection locked="0"/>
    </xf>
    <xf numFmtId="0" fontId="40" fillId="0" borderId="4" xfId="18" applyFont="1" applyBorder="1" applyAlignment="1" applyProtection="1">
      <alignment horizontal="center"/>
      <protection locked="0"/>
    </xf>
    <xf numFmtId="0" fontId="48" fillId="0" borderId="3" xfId="18" applyFont="1" applyBorder="1" applyAlignment="1">
      <alignment horizontal="center" vertical="top" wrapText="1"/>
    </xf>
    <xf numFmtId="0" fontId="48" fillId="0" borderId="4" xfId="18" applyFont="1" applyBorder="1" applyAlignment="1">
      <alignment horizontal="center" vertical="top" wrapText="1"/>
    </xf>
    <xf numFmtId="0" fontId="48" fillId="0" borderId="8" xfId="18" applyFont="1" applyBorder="1" applyAlignment="1">
      <alignment horizontal="center" vertical="top" wrapText="1"/>
    </xf>
    <xf numFmtId="0" fontId="48" fillId="0" borderId="3" xfId="18" applyFont="1" applyBorder="1" applyAlignment="1" applyProtection="1">
      <alignment horizontal="center" wrapText="1"/>
      <protection locked="0"/>
    </xf>
    <xf numFmtId="0" fontId="48" fillId="0" borderId="8" xfId="18" applyFont="1" applyBorder="1" applyAlignment="1" applyProtection="1">
      <alignment horizontal="center" wrapText="1"/>
      <protection locked="0"/>
    </xf>
    <xf numFmtId="0" fontId="45" fillId="14" borderId="0" xfId="18" applyFont="1" applyFill="1" applyAlignment="1">
      <alignment horizontal="center" vertical="center"/>
    </xf>
    <xf numFmtId="0" fontId="46" fillId="14" borderId="17" xfId="18" applyFont="1" applyFill="1" applyBorder="1" applyAlignment="1">
      <alignment horizontal="center" vertical="center"/>
    </xf>
    <xf numFmtId="0" fontId="46" fillId="14" borderId="9" xfId="18" applyFont="1" applyFill="1" applyBorder="1" applyAlignment="1">
      <alignment horizontal="center" vertical="center"/>
    </xf>
    <xf numFmtId="0" fontId="46" fillId="14" borderId="0" xfId="18" applyFont="1" applyFill="1" applyAlignment="1">
      <alignment horizontal="center" vertical="center"/>
    </xf>
    <xf numFmtId="0" fontId="40" fillId="0" borderId="13" xfId="18" applyFont="1" applyBorder="1" applyAlignment="1">
      <alignment horizontal="center" vertical="center" textRotation="90" wrapText="1"/>
    </xf>
    <xf numFmtId="0" fontId="40" fillId="0" borderId="6" xfId="18" applyFont="1" applyBorder="1" applyAlignment="1">
      <alignment horizontal="center" vertical="center" textRotation="90"/>
    </xf>
    <xf numFmtId="0" fontId="40" fillId="0" borderId="15" xfId="18" applyFont="1" applyBorder="1" applyAlignment="1">
      <alignment horizontal="center" vertical="center" textRotation="90"/>
    </xf>
    <xf numFmtId="0" fontId="40" fillId="0" borderId="16" xfId="18" applyFont="1" applyBorder="1" applyAlignment="1">
      <alignment horizontal="center" vertical="center" textRotation="90"/>
    </xf>
    <xf numFmtId="0" fontId="40" fillId="5" borderId="14" xfId="18" applyFont="1" applyFill="1" applyBorder="1" applyAlignment="1">
      <alignment horizontal="left"/>
    </xf>
    <xf numFmtId="0" fontId="40" fillId="5" borderId="6" xfId="18" applyFont="1" applyFill="1" applyBorder="1" applyAlignment="1">
      <alignment horizontal="left"/>
    </xf>
    <xf numFmtId="170" fontId="49" fillId="0" borderId="9" xfId="17" applyNumberFormat="1" applyFont="1" applyFill="1" applyBorder="1" applyAlignment="1">
      <alignment horizontal="center"/>
    </xf>
    <xf numFmtId="170" fontId="49" fillId="0" borderId="7" xfId="17" applyNumberFormat="1" applyFont="1" applyFill="1" applyBorder="1" applyAlignment="1">
      <alignment horizontal="center"/>
    </xf>
    <xf numFmtId="0" fontId="49" fillId="0" borderId="15" xfId="18" applyFont="1" applyBorder="1" applyAlignment="1" applyProtection="1">
      <alignment horizontal="left" vertical="center"/>
      <protection hidden="1"/>
    </xf>
    <xf numFmtId="0" fontId="49" fillId="0" borderId="0" xfId="18" applyFont="1" applyAlignment="1" applyProtection="1">
      <alignment horizontal="left" vertical="center"/>
      <protection hidden="1"/>
    </xf>
    <xf numFmtId="0" fontId="49" fillId="0" borderId="16" xfId="18" applyFont="1" applyBorder="1" applyAlignment="1" applyProtection="1">
      <alignment horizontal="left" vertical="center"/>
      <protection hidden="1"/>
    </xf>
    <xf numFmtId="0" fontId="49" fillId="0" borderId="17" xfId="18" applyFont="1" applyBorder="1" applyAlignment="1" applyProtection="1">
      <alignment horizontal="left" vertical="center"/>
      <protection hidden="1"/>
    </xf>
    <xf numFmtId="0" fontId="49" fillId="0" borderId="9" xfId="18" applyFont="1" applyBorder="1" applyAlignment="1" applyProtection="1">
      <alignment horizontal="left" vertical="center"/>
      <protection hidden="1"/>
    </xf>
    <xf numFmtId="0" fontId="49" fillId="0" borderId="7" xfId="18" applyFont="1" applyBorder="1" applyAlignment="1" applyProtection="1">
      <alignment horizontal="left" vertical="center"/>
      <protection hidden="1"/>
    </xf>
    <xf numFmtId="0" fontId="49" fillId="0" borderId="13" xfId="18" applyFont="1" applyBorder="1" applyAlignment="1">
      <alignment horizontal="right"/>
    </xf>
    <xf numFmtId="0" fontId="49" fillId="0" borderId="14" xfId="18" applyFont="1" applyBorder="1" applyAlignment="1">
      <alignment horizontal="right"/>
    </xf>
    <xf numFmtId="0" fontId="49" fillId="0" borderId="6" xfId="18" applyFont="1" applyBorder="1" applyAlignment="1">
      <alignment horizontal="right"/>
    </xf>
    <xf numFmtId="0" fontId="49" fillId="0" borderId="17" xfId="18" applyFont="1" applyBorder="1" applyAlignment="1">
      <alignment horizontal="right"/>
    </xf>
    <xf numFmtId="0" fontId="49" fillId="0" borderId="9" xfId="18" applyFont="1" applyBorder="1" applyAlignment="1">
      <alignment horizontal="right"/>
    </xf>
    <xf numFmtId="0" fontId="49" fillId="0" borderId="7" xfId="18" applyFont="1" applyBorder="1" applyAlignment="1">
      <alignment horizontal="right"/>
    </xf>
    <xf numFmtId="0" fontId="49" fillId="0" borderId="13" xfId="18" applyFont="1" applyBorder="1" applyAlignment="1">
      <alignment horizontal="center"/>
    </xf>
    <xf numFmtId="0" fontId="49" fillId="0" borderId="14" xfId="18" applyFont="1" applyBorder="1" applyAlignment="1">
      <alignment horizontal="center"/>
    </xf>
    <xf numFmtId="0" fontId="49" fillId="0" borderId="6" xfId="18" applyFont="1" applyBorder="1" applyAlignment="1">
      <alignment horizontal="center"/>
    </xf>
    <xf numFmtId="0" fontId="49" fillId="0" borderId="17" xfId="18" applyFont="1" applyBorder="1" applyAlignment="1">
      <alignment horizontal="center"/>
    </xf>
    <xf numFmtId="0" fontId="49" fillId="0" borderId="9" xfId="18" applyFont="1" applyBorder="1" applyAlignment="1">
      <alignment horizontal="center"/>
    </xf>
    <xf numFmtId="0" fontId="49" fillId="0" borderId="7" xfId="18" applyFont="1" applyBorder="1" applyAlignment="1">
      <alignment horizontal="center"/>
    </xf>
    <xf numFmtId="0" fontId="40" fillId="0" borderId="14" xfId="18" applyFont="1" applyBorder="1" applyAlignment="1">
      <alignment horizontal="left"/>
    </xf>
    <xf numFmtId="0" fontId="49" fillId="0" borderId="14" xfId="18" applyFont="1" applyBorder="1" applyAlignment="1" applyProtection="1">
      <alignment horizontal="center"/>
      <protection locked="0"/>
    </xf>
    <xf numFmtId="0" fontId="49" fillId="0" borderId="6" xfId="18" applyFont="1" applyBorder="1" applyAlignment="1" applyProtection="1">
      <alignment horizontal="center"/>
      <protection locked="0"/>
    </xf>
    <xf numFmtId="0" fontId="40" fillId="0" borderId="13" xfId="18" applyFont="1" applyBorder="1" applyAlignment="1" applyProtection="1">
      <alignment horizontal="center"/>
      <protection locked="0"/>
    </xf>
    <xf numFmtId="0" fontId="40" fillId="0" borderId="14" xfId="18" applyFont="1" applyBorder="1" applyAlignment="1" applyProtection="1">
      <alignment horizontal="center"/>
      <protection locked="0"/>
    </xf>
    <xf numFmtId="0" fontId="40" fillId="0" borderId="6" xfId="18" applyFont="1" applyBorder="1" applyAlignment="1" applyProtection="1">
      <alignment horizontal="center"/>
      <protection locked="0"/>
    </xf>
    <xf numFmtId="0" fontId="31" fillId="0" borderId="17" xfId="18" applyFont="1" applyBorder="1" applyAlignment="1" applyProtection="1">
      <alignment horizontal="center"/>
      <protection locked="0"/>
    </xf>
    <xf numFmtId="0" fontId="31" fillId="0" borderId="9" xfId="18" applyFont="1" applyBorder="1" applyAlignment="1" applyProtection="1">
      <alignment horizontal="center"/>
      <protection locked="0"/>
    </xf>
    <xf numFmtId="0" fontId="31" fillId="0" borderId="7" xfId="18" applyFont="1" applyBorder="1" applyAlignment="1" applyProtection="1">
      <alignment horizontal="center"/>
      <protection locked="0"/>
    </xf>
    <xf numFmtId="0" fontId="31" fillId="0" borderId="17" xfId="18" applyFont="1" applyBorder="1" applyAlignment="1" applyProtection="1">
      <alignment horizontal="left"/>
      <protection locked="0"/>
    </xf>
    <xf numFmtId="0" fontId="31" fillId="0" borderId="9" xfId="18" applyFont="1" applyBorder="1" applyAlignment="1" applyProtection="1">
      <alignment horizontal="left"/>
      <protection locked="0"/>
    </xf>
    <xf numFmtId="0" fontId="31" fillId="0" borderId="7" xfId="18" applyFont="1" applyBorder="1" applyAlignment="1" applyProtection="1">
      <alignment horizontal="left"/>
      <protection locked="0"/>
    </xf>
    <xf numFmtId="0" fontId="50" fillId="5" borderId="13" xfId="18" applyFont="1" applyFill="1" applyBorder="1" applyAlignment="1">
      <alignment horizontal="left" vertical="top" wrapText="1"/>
    </xf>
    <xf numFmtId="0" fontId="50" fillId="5" borderId="14" xfId="18" applyFont="1" applyFill="1" applyBorder="1" applyAlignment="1">
      <alignment horizontal="left" vertical="top" wrapText="1"/>
    </xf>
    <xf numFmtId="0" fontId="50" fillId="5" borderId="6" xfId="18" applyFont="1" applyFill="1" applyBorder="1" applyAlignment="1">
      <alignment horizontal="left" vertical="top" wrapText="1"/>
    </xf>
    <xf numFmtId="0" fontId="50" fillId="5" borderId="17" xfId="18" applyFont="1" applyFill="1" applyBorder="1" applyAlignment="1">
      <alignment horizontal="left" vertical="top" wrapText="1"/>
    </xf>
    <xf numFmtId="0" fontId="50" fillId="5" borderId="9" xfId="18" applyFont="1" applyFill="1" applyBorder="1" applyAlignment="1">
      <alignment vertical="top"/>
    </xf>
    <xf numFmtId="0" fontId="50" fillId="5" borderId="7" xfId="18" applyFont="1" applyFill="1" applyBorder="1" applyAlignment="1">
      <alignment vertical="top"/>
    </xf>
    <xf numFmtId="0" fontId="36" fillId="0" borderId="20" xfId="18" applyFont="1" applyBorder="1" applyAlignment="1">
      <alignment horizontal="center" vertical="center"/>
    </xf>
    <xf numFmtId="0" fontId="36" fillId="0" borderId="21" xfId="18" applyFont="1" applyBorder="1" applyAlignment="1">
      <alignment vertical="center"/>
    </xf>
    <xf numFmtId="0" fontId="36" fillId="0" borderId="22" xfId="18" applyFont="1" applyBorder="1" applyAlignment="1">
      <alignment vertical="center"/>
    </xf>
    <xf numFmtId="0" fontId="36" fillId="0" borderId="24" xfId="18" applyFont="1" applyBorder="1" applyAlignment="1">
      <alignment vertical="center"/>
    </xf>
    <xf numFmtId="0" fontId="36" fillId="0" borderId="25" xfId="18" applyFont="1" applyBorder="1" applyAlignment="1">
      <alignment vertical="center"/>
    </xf>
    <xf numFmtId="0" fontId="36" fillId="0" borderId="26" xfId="18" applyFont="1" applyBorder="1" applyAlignment="1">
      <alignment vertical="center"/>
    </xf>
    <xf numFmtId="0" fontId="36" fillId="0" borderId="28" xfId="18" applyFont="1" applyBorder="1" applyAlignment="1">
      <alignment vertical="center"/>
    </xf>
    <xf numFmtId="0" fontId="36" fillId="0" borderId="29" xfId="18" applyFont="1" applyBorder="1" applyAlignment="1">
      <alignment vertical="center"/>
    </xf>
    <xf numFmtId="0" fontId="36" fillId="0" borderId="30" xfId="18" applyFont="1" applyBorder="1" applyAlignment="1">
      <alignment vertical="center"/>
    </xf>
    <xf numFmtId="0" fontId="37" fillId="0" borderId="20" xfId="18" applyFont="1" applyBorder="1" applyAlignment="1">
      <alignment horizontal="center" vertical="center" wrapText="1"/>
    </xf>
    <xf numFmtId="0" fontId="37" fillId="0" borderId="21" xfId="18" applyFont="1" applyBorder="1" applyAlignment="1">
      <alignment horizontal="center" vertical="center" wrapText="1"/>
    </xf>
    <xf numFmtId="0" fontId="37" fillId="0" borderId="23" xfId="18" applyFont="1" applyBorder="1" applyAlignment="1">
      <alignment horizontal="center" vertical="center" wrapText="1"/>
    </xf>
    <xf numFmtId="0" fontId="37" fillId="0" borderId="24" xfId="18" applyFont="1" applyBorder="1" applyAlignment="1">
      <alignment horizontal="center" vertical="center" wrapText="1"/>
    </xf>
    <xf numFmtId="0" fontId="37" fillId="0" borderId="25" xfId="18" applyFont="1" applyBorder="1" applyAlignment="1">
      <alignment horizontal="center" vertical="center" wrapText="1"/>
    </xf>
    <xf numFmtId="0" fontId="37" fillId="0" borderId="27" xfId="18" applyFont="1" applyBorder="1" applyAlignment="1">
      <alignment horizontal="center" vertical="center" wrapText="1"/>
    </xf>
    <xf numFmtId="0" fontId="37" fillId="0" borderId="28" xfId="18" applyFont="1" applyBorder="1" applyAlignment="1">
      <alignment horizontal="center" vertical="center" wrapText="1"/>
    </xf>
    <xf numFmtId="0" fontId="37" fillId="0" borderId="29" xfId="18" applyFont="1" applyBorder="1" applyAlignment="1">
      <alignment horizontal="center" vertical="center" wrapText="1"/>
    </xf>
    <xf numFmtId="0" fontId="37" fillId="0" borderId="31" xfId="18" applyFont="1" applyBorder="1" applyAlignment="1">
      <alignment horizontal="center" vertical="center" wrapText="1"/>
    </xf>
    <xf numFmtId="178" fontId="38" fillId="14" borderId="1" xfId="20" applyNumberFormat="1" applyFont="1" applyFill="1" applyBorder="1" applyAlignment="1" applyProtection="1">
      <alignment horizontal="center" vertical="center"/>
    </xf>
    <xf numFmtId="0" fontId="39" fillId="14" borderId="14" xfId="18" applyFont="1" applyFill="1" applyBorder="1" applyAlignment="1">
      <alignment horizontal="center" vertical="center"/>
    </xf>
    <xf numFmtId="0" fontId="39" fillId="14" borderId="6" xfId="18" applyFont="1" applyFill="1" applyBorder="1" applyAlignment="1">
      <alignment horizontal="center" vertical="center"/>
    </xf>
    <xf numFmtId="0" fontId="39" fillId="14" borderId="0" xfId="18" applyFont="1" applyFill="1" applyAlignment="1">
      <alignment horizontal="center" vertical="center"/>
    </xf>
    <xf numFmtId="0" fontId="39" fillId="14" borderId="16" xfId="18" applyFont="1" applyFill="1" applyBorder="1" applyAlignment="1">
      <alignment horizontal="center" vertical="center"/>
    </xf>
    <xf numFmtId="0" fontId="39" fillId="14" borderId="9" xfId="18" applyFont="1" applyFill="1" applyBorder="1" applyAlignment="1">
      <alignment horizontal="center" vertical="center"/>
    </xf>
    <xf numFmtId="0" fontId="39" fillId="14" borderId="7" xfId="18" applyFont="1" applyFill="1" applyBorder="1" applyAlignment="1">
      <alignment horizontal="center" vertical="center"/>
    </xf>
    <xf numFmtId="0" fontId="40" fillId="5" borderId="32" xfId="18" applyFont="1" applyFill="1" applyBorder="1" applyAlignment="1">
      <alignment horizontal="center"/>
    </xf>
    <xf numFmtId="0" fontId="40" fillId="5" borderId="33" xfId="18" applyFont="1" applyFill="1" applyBorder="1" applyAlignment="1">
      <alignment horizontal="center"/>
    </xf>
    <xf numFmtId="0" fontId="40" fillId="5" borderId="34" xfId="18" applyFont="1" applyFill="1" applyBorder="1" applyAlignment="1">
      <alignment horizontal="center"/>
    </xf>
    <xf numFmtId="0" fontId="31" fillId="5" borderId="35" xfId="18" applyFont="1" applyFill="1" applyBorder="1" applyAlignment="1">
      <alignment horizontal="center"/>
    </xf>
    <xf numFmtId="0" fontId="31" fillId="5" borderId="33" xfId="18" applyFont="1" applyFill="1" applyBorder="1" applyAlignment="1">
      <alignment horizontal="center"/>
    </xf>
    <xf numFmtId="0" fontId="31" fillId="5" borderId="34" xfId="18" applyFont="1" applyFill="1" applyBorder="1" applyAlignment="1">
      <alignment horizontal="center"/>
    </xf>
    <xf numFmtId="0" fontId="37" fillId="14" borderId="13" xfId="18" applyFont="1" applyFill="1" applyBorder="1" applyAlignment="1">
      <alignment horizontal="right" vertical="top"/>
    </xf>
    <xf numFmtId="0" fontId="37" fillId="14" borderId="14" xfId="18" applyFont="1" applyFill="1" applyBorder="1" applyAlignment="1">
      <alignment horizontal="right" vertical="top"/>
    </xf>
    <xf numFmtId="0" fontId="37" fillId="14" borderId="6" xfId="18" applyFont="1" applyFill="1" applyBorder="1" applyAlignment="1">
      <alignment horizontal="right" vertical="top"/>
    </xf>
    <xf numFmtId="0" fontId="42" fillId="14" borderId="15" xfId="18" applyFont="1" applyFill="1" applyBorder="1" applyAlignment="1">
      <alignment horizontal="left" vertical="top" wrapText="1"/>
    </xf>
    <xf numFmtId="0" fontId="42" fillId="14" borderId="0" xfId="18" applyFont="1" applyFill="1" applyAlignment="1">
      <alignment horizontal="left" vertical="top" wrapText="1"/>
    </xf>
    <xf numFmtId="0" fontId="44" fillId="14" borderId="0" xfId="18" applyFont="1" applyFill="1" applyAlignment="1">
      <alignment horizontal="center" vertical="center"/>
    </xf>
    <xf numFmtId="0" fontId="43" fillId="14" borderId="0" xfId="18" applyFont="1" applyFill="1" applyAlignment="1">
      <alignment horizontal="right" vertical="top"/>
    </xf>
    <xf numFmtId="0" fontId="2" fillId="0" borderId="0" xfId="0" applyFont="1"/>
    <xf numFmtId="0" fontId="21" fillId="25" borderId="1" xfId="0" applyFont="1" applyFill="1" applyBorder="1" applyAlignment="1">
      <alignment horizontal="center" vertical="center" wrapText="1"/>
    </xf>
    <xf numFmtId="0" fontId="20" fillId="0" borderId="5" xfId="0" applyFont="1" applyBorder="1" applyAlignment="1">
      <alignment horizontal="center" vertical="center" wrapText="1"/>
    </xf>
    <xf numFmtId="0" fontId="9" fillId="21" borderId="3" xfId="0" applyFont="1" applyFill="1" applyBorder="1" applyAlignment="1">
      <alignment horizontal="left"/>
    </xf>
    <xf numFmtId="0" fontId="9" fillId="21" borderId="4" xfId="0" applyFont="1" applyFill="1" applyBorder="1" applyAlignment="1">
      <alignment horizontal="left"/>
    </xf>
    <xf numFmtId="0" fontId="9" fillId="21" borderId="8" xfId="0" applyFont="1" applyFill="1" applyBorder="1" applyAlignment="1">
      <alignment horizontal="left"/>
    </xf>
    <xf numFmtId="0" fontId="2" fillId="0" borderId="3" xfId="0" applyFont="1" applyBorder="1" applyAlignment="1">
      <alignment horizontal="left"/>
    </xf>
    <xf numFmtId="0" fontId="2" fillId="0" borderId="4" xfId="0" applyFont="1" applyBorder="1" applyAlignment="1">
      <alignment horizontal="left"/>
    </xf>
    <xf numFmtId="0" fontId="2" fillId="0" borderId="93" xfId="0" applyFont="1" applyBorder="1" applyAlignment="1">
      <alignment horizontal="left"/>
    </xf>
    <xf numFmtId="0" fontId="2" fillId="0" borderId="8" xfId="0" applyFont="1" applyBorder="1" applyAlignment="1">
      <alignment horizontal="left"/>
    </xf>
    <xf numFmtId="0" fontId="41" fillId="44" borderId="3" xfId="0" applyFont="1" applyFill="1" applyBorder="1" applyAlignment="1">
      <alignment horizontal="center" vertical="center" wrapText="1"/>
    </xf>
    <xf numFmtId="0" fontId="41" fillId="44" borderId="4" xfId="0" applyFont="1" applyFill="1" applyBorder="1" applyAlignment="1">
      <alignment horizontal="center" vertical="center" wrapText="1"/>
    </xf>
    <xf numFmtId="0" fontId="41" fillId="44" borderId="8" xfId="0" applyFont="1" applyFill="1" applyBorder="1" applyAlignment="1">
      <alignment horizontal="center" vertical="center" wrapText="1"/>
    </xf>
    <xf numFmtId="0" fontId="9" fillId="25" borderId="3" xfId="0" applyFont="1" applyFill="1" applyBorder="1" applyAlignment="1">
      <alignment horizontal="center" wrapText="1"/>
    </xf>
    <xf numFmtId="0" fontId="9" fillId="25" borderId="4" xfId="0" applyFont="1" applyFill="1" applyBorder="1" applyAlignment="1">
      <alignment horizontal="center" wrapText="1"/>
    </xf>
    <xf numFmtId="0" fontId="9" fillId="25" borderId="8" xfId="0" applyFont="1" applyFill="1" applyBorder="1" applyAlignment="1">
      <alignment horizontal="center" wrapText="1"/>
    </xf>
    <xf numFmtId="0" fontId="9" fillId="17" borderId="3" xfId="0" applyFont="1" applyFill="1" applyBorder="1" applyAlignment="1">
      <alignment horizontal="left" wrapText="1"/>
    </xf>
    <xf numFmtId="0" fontId="9" fillId="17" borderId="4" xfId="0" applyFont="1" applyFill="1" applyBorder="1" applyAlignment="1">
      <alignment horizontal="left" wrapText="1"/>
    </xf>
    <xf numFmtId="0" fontId="9" fillId="17" borderId="8" xfId="0" applyFont="1" applyFill="1" applyBorder="1" applyAlignment="1">
      <alignment horizontal="left" wrapText="1"/>
    </xf>
    <xf numFmtId="0" fontId="9" fillId="26" borderId="3" xfId="0" applyFont="1" applyFill="1" applyBorder="1" applyAlignment="1">
      <alignment horizontal="left" wrapText="1"/>
    </xf>
    <xf numFmtId="0" fontId="9" fillId="26" borderId="4" xfId="0" applyFont="1" applyFill="1" applyBorder="1" applyAlignment="1">
      <alignment horizontal="left" wrapText="1"/>
    </xf>
    <xf numFmtId="0" fontId="9" fillId="26" borderId="8" xfId="0" applyFont="1" applyFill="1" applyBorder="1" applyAlignment="1">
      <alignment horizontal="left" wrapText="1"/>
    </xf>
    <xf numFmtId="0" fontId="3" fillId="32" borderId="1" xfId="22" applyFont="1" applyFill="1" applyBorder="1" applyAlignment="1">
      <alignment horizontal="center" textRotation="90" wrapText="1"/>
    </xf>
    <xf numFmtId="0" fontId="75" fillId="32" borderId="1" xfId="22" applyFont="1" applyFill="1" applyBorder="1" applyAlignment="1">
      <alignment horizontal="center" wrapText="1"/>
    </xf>
    <xf numFmtId="0" fontId="75" fillId="32" borderId="3" xfId="22" applyFont="1" applyFill="1" applyBorder="1" applyAlignment="1">
      <alignment horizontal="center" wrapText="1"/>
    </xf>
    <xf numFmtId="0" fontId="9" fillId="17" borderId="3" xfId="0" applyFont="1" applyFill="1" applyBorder="1" applyAlignment="1">
      <alignment horizontal="left"/>
    </xf>
    <xf numFmtId="0" fontId="9" fillId="17" borderId="4" xfId="0" applyFont="1" applyFill="1" applyBorder="1" applyAlignment="1">
      <alignment horizontal="left"/>
    </xf>
    <xf numFmtId="0" fontId="9" fillId="17" borderId="8" xfId="0" applyFont="1" applyFill="1" applyBorder="1" applyAlignment="1">
      <alignment horizontal="left"/>
    </xf>
    <xf numFmtId="0" fontId="2" fillId="0" borderId="1" xfId="0" applyFont="1" applyBorder="1" applyAlignment="1">
      <alignment horizontal="left" wrapText="1"/>
    </xf>
    <xf numFmtId="0" fontId="9" fillId="17" borderId="17" xfId="0" applyFont="1" applyFill="1" applyBorder="1" applyAlignment="1">
      <alignment horizontal="left" wrapText="1"/>
    </xf>
    <xf numFmtId="0" fontId="9" fillId="17" borderId="9" xfId="0" applyFont="1" applyFill="1" applyBorder="1" applyAlignment="1">
      <alignment horizontal="left" wrapText="1"/>
    </xf>
    <xf numFmtId="0" fontId="9" fillId="17" borderId="7" xfId="0" applyFont="1" applyFill="1" applyBorder="1" applyAlignment="1">
      <alignment horizontal="left" wrapText="1"/>
    </xf>
    <xf numFmtId="0" fontId="28" fillId="49" borderId="0" xfId="0" applyFont="1" applyFill="1"/>
    <xf numFmtId="0" fontId="2" fillId="0" borderId="19" xfId="0" applyFont="1" applyBorder="1"/>
    <xf numFmtId="0" fontId="2" fillId="0" borderId="2" xfId="0" applyFont="1" applyBorder="1"/>
    <xf numFmtId="0" fontId="2" fillId="0" borderId="1" xfId="0" applyFont="1" applyBorder="1" applyAlignment="1">
      <alignment horizontal="center" textRotation="90"/>
    </xf>
    <xf numFmtId="0" fontId="3" fillId="32" borderId="5" xfId="22" applyFont="1" applyFill="1" applyBorder="1" applyAlignment="1">
      <alignment horizontal="center" textRotation="90" wrapText="1"/>
    </xf>
    <xf numFmtId="0" fontId="3" fillId="32" borderId="2" xfId="22" applyFont="1" applyFill="1" applyBorder="1" applyAlignment="1">
      <alignment horizontal="center" textRotation="90" wrapText="1"/>
    </xf>
    <xf numFmtId="0" fontId="3" fillId="32" borderId="19" xfId="22" applyFont="1" applyFill="1" applyBorder="1" applyAlignment="1">
      <alignment horizontal="center" textRotation="90" wrapText="1"/>
    </xf>
    <xf numFmtId="0" fontId="2" fillId="0" borderId="3" xfId="0" applyFont="1" applyBorder="1" applyAlignment="1">
      <alignment horizontal="left" wrapText="1"/>
    </xf>
    <xf numFmtId="0" fontId="2" fillId="0" borderId="4" xfId="0" applyFont="1" applyBorder="1" applyAlignment="1">
      <alignment horizontal="left" wrapText="1"/>
    </xf>
    <xf numFmtId="0" fontId="2" fillId="0" borderId="8" xfId="0" applyFont="1" applyBorder="1" applyAlignment="1">
      <alignment horizontal="left" wrapText="1"/>
    </xf>
    <xf numFmtId="0" fontId="9" fillId="16" borderId="3" xfId="0" applyFont="1" applyFill="1" applyBorder="1" applyAlignment="1">
      <alignment horizontal="left" wrapText="1"/>
    </xf>
    <xf numFmtId="0" fontId="9" fillId="16" borderId="4" xfId="0" applyFont="1" applyFill="1" applyBorder="1" applyAlignment="1">
      <alignment horizontal="left" wrapText="1"/>
    </xf>
    <xf numFmtId="0" fontId="9" fillId="16" borderId="8" xfId="0" applyFont="1" applyFill="1" applyBorder="1" applyAlignment="1">
      <alignment horizontal="left" wrapText="1"/>
    </xf>
    <xf numFmtId="0" fontId="2" fillId="0" borderId="0" xfId="0" applyFont="1" applyAlignment="1">
      <alignment textRotation="90"/>
    </xf>
    <xf numFmtId="0" fontId="27" fillId="47" borderId="1" xfId="0" applyFont="1" applyFill="1" applyBorder="1" applyAlignment="1">
      <alignment horizontal="center" vertical="center" wrapText="1"/>
    </xf>
    <xf numFmtId="0" fontId="27" fillId="47" borderId="5" xfId="0" applyFont="1" applyFill="1" applyBorder="1" applyAlignment="1">
      <alignment horizontal="center" vertical="center" wrapText="1"/>
    </xf>
    <xf numFmtId="0" fontId="27" fillId="47" borderId="2" xfId="0" applyFont="1" applyFill="1" applyBorder="1" applyAlignment="1">
      <alignment horizontal="center" vertical="center" wrapText="1"/>
    </xf>
    <xf numFmtId="0" fontId="21" fillId="50" borderId="5" xfId="0" applyFont="1" applyFill="1" applyBorder="1" applyAlignment="1">
      <alignment horizontal="center" vertical="center" wrapText="1"/>
    </xf>
    <xf numFmtId="0" fontId="20" fillId="50" borderId="2" xfId="0" applyFont="1" applyFill="1" applyBorder="1" applyAlignment="1">
      <alignment horizontal="center" vertical="center" wrapText="1"/>
    </xf>
    <xf numFmtId="0" fontId="85" fillId="44" borderId="1" xfId="0" applyFont="1" applyFill="1" applyBorder="1" applyAlignment="1">
      <alignment horizontal="center" textRotation="90"/>
    </xf>
    <xf numFmtId="0" fontId="85" fillId="44" borderId="1" xfId="0" applyFont="1" applyFill="1" applyBorder="1" applyAlignment="1">
      <alignment horizontal="center"/>
    </xf>
    <xf numFmtId="0" fontId="85" fillId="44" borderId="19" xfId="0" applyFont="1" applyFill="1" applyBorder="1" applyAlignment="1">
      <alignment horizontal="center" textRotation="90"/>
    </xf>
    <xf numFmtId="0" fontId="85" fillId="44" borderId="2" xfId="0" applyFont="1" applyFill="1" applyBorder="1" applyAlignment="1">
      <alignment horizontal="center" textRotation="90"/>
    </xf>
    <xf numFmtId="2" fontId="27" fillId="47" borderId="3" xfId="0" applyNumberFormat="1" applyFont="1" applyFill="1" applyBorder="1" applyAlignment="1">
      <alignment horizontal="center" vertical="center" wrapText="1"/>
    </xf>
    <xf numFmtId="2" fontId="27" fillId="47" borderId="4" xfId="0" applyNumberFormat="1" applyFont="1" applyFill="1" applyBorder="1" applyAlignment="1">
      <alignment horizontal="center" vertical="center" wrapText="1"/>
    </xf>
    <xf numFmtId="2" fontId="27" fillId="47" borderId="8" xfId="0" applyNumberFormat="1" applyFont="1" applyFill="1" applyBorder="1" applyAlignment="1">
      <alignment horizontal="center" vertical="center" wrapText="1"/>
    </xf>
    <xf numFmtId="0" fontId="2" fillId="0" borderId="5" xfId="0" applyFont="1" applyBorder="1" applyAlignment="1">
      <alignment horizontal="center" textRotation="90"/>
    </xf>
    <xf numFmtId="0" fontId="2" fillId="0" borderId="19" xfId="0" applyFont="1" applyBorder="1" applyAlignment="1">
      <alignment horizontal="center" textRotation="90"/>
    </xf>
    <xf numFmtId="0" fontId="2" fillId="0" borderId="2" xfId="0" applyFont="1" applyBorder="1" applyAlignment="1">
      <alignment horizontal="center" textRotation="90"/>
    </xf>
    <xf numFmtId="0" fontId="2" fillId="0" borderId="93" xfId="0" applyFont="1" applyBorder="1" applyAlignment="1">
      <alignment horizontal="left" wrapText="1"/>
    </xf>
    <xf numFmtId="0" fontId="2" fillId="0" borderId="13" xfId="0" applyFont="1" applyBorder="1" applyAlignment="1">
      <alignment horizontal="left" wrapText="1"/>
    </xf>
    <xf numFmtId="0" fontId="2" fillId="0" borderId="14" xfId="0" applyFont="1" applyBorder="1" applyAlignment="1">
      <alignment horizontal="left" wrapText="1"/>
    </xf>
    <xf numFmtId="0" fontId="2" fillId="0" borderId="94" xfId="0" applyFont="1" applyBorder="1" applyAlignment="1">
      <alignment horizontal="left" wrapText="1"/>
    </xf>
    <xf numFmtId="0" fontId="9" fillId="0" borderId="3" xfId="0" applyFont="1" applyBorder="1" applyAlignment="1">
      <alignment horizontal="left" wrapText="1"/>
    </xf>
    <xf numFmtId="0" fontId="9" fillId="0" borderId="4" xfId="0" applyFont="1" applyBorder="1" applyAlignment="1">
      <alignment horizontal="left" wrapText="1"/>
    </xf>
    <xf numFmtId="0" fontId="9" fillId="0" borderId="8" xfId="0" applyFont="1" applyBorder="1" applyAlignment="1">
      <alignment horizontal="left" wrapText="1"/>
    </xf>
    <xf numFmtId="0" fontId="2" fillId="26" borderId="3" xfId="0" applyFont="1" applyFill="1" applyBorder="1" applyAlignment="1">
      <alignment horizontal="left" wrapText="1"/>
    </xf>
    <xf numFmtId="0" fontId="2" fillId="26" borderId="4" xfId="0" applyFont="1" applyFill="1" applyBorder="1" applyAlignment="1">
      <alignment horizontal="left" wrapText="1"/>
    </xf>
    <xf numFmtId="0" fontId="2" fillId="26" borderId="8" xfId="0" applyFont="1" applyFill="1" applyBorder="1" applyAlignment="1">
      <alignment horizontal="left" wrapText="1"/>
    </xf>
    <xf numFmtId="0" fontId="23" fillId="25" borderId="3" xfId="0" applyFont="1" applyFill="1" applyBorder="1" applyAlignment="1">
      <alignment horizontal="center" vertical="center" wrapText="1"/>
    </xf>
    <xf numFmtId="0" fontId="23" fillId="25" borderId="4" xfId="0" applyFont="1" applyFill="1" applyBorder="1" applyAlignment="1">
      <alignment horizontal="center" vertical="center" wrapText="1"/>
    </xf>
    <xf numFmtId="0" fontId="23" fillId="25" borderId="8" xfId="0" applyFont="1" applyFill="1" applyBorder="1" applyAlignment="1">
      <alignment horizontal="center" vertical="center" wrapText="1"/>
    </xf>
    <xf numFmtId="41" fontId="2" fillId="2" borderId="0" xfId="3" applyFont="1" applyFill="1" applyAlignment="1">
      <alignment horizontal="center"/>
    </xf>
    <xf numFmtId="41" fontId="0" fillId="2" borderId="0" xfId="3" applyFont="1" applyFill="1" applyAlignment="1">
      <alignment horizontal="center"/>
    </xf>
    <xf numFmtId="41" fontId="2" fillId="20" borderId="0" xfId="3" applyFont="1" applyFill="1" applyAlignment="1">
      <alignment horizontal="center"/>
    </xf>
    <xf numFmtId="41" fontId="2" fillId="0" borderId="0" xfId="3" applyFont="1" applyAlignment="1">
      <alignment horizontal="center"/>
    </xf>
    <xf numFmtId="41" fontId="0" fillId="0" borderId="0" xfId="3" applyFont="1" applyAlignment="1">
      <alignment horizontal="center"/>
    </xf>
    <xf numFmtId="173" fontId="9" fillId="0" borderId="0" xfId="5" applyNumberFormat="1" applyFont="1" applyAlignment="1">
      <alignment horizontal="center"/>
    </xf>
    <xf numFmtId="43" fontId="9" fillId="0" borderId="0" xfId="5" applyFont="1" applyAlignment="1">
      <alignment horizontal="center"/>
    </xf>
    <xf numFmtId="43" fontId="9" fillId="0" borderId="0" xfId="5" applyFont="1" applyFill="1" applyAlignment="1">
      <alignment horizontal="center"/>
    </xf>
    <xf numFmtId="173" fontId="9" fillId="0" borderId="0" xfId="5" applyNumberFormat="1" applyFont="1" applyFill="1" applyAlignment="1">
      <alignment horizontal="center"/>
    </xf>
    <xf numFmtId="43" fontId="10" fillId="0" borderId="0" xfId="5" applyFont="1" applyAlignment="1">
      <alignment horizontal="center"/>
    </xf>
    <xf numFmtId="173" fontId="10" fillId="0" borderId="0" xfId="5" applyNumberFormat="1" applyFont="1" applyAlignment="1">
      <alignment horizontal="center"/>
    </xf>
    <xf numFmtId="173" fontId="23" fillId="0" borderId="0" xfId="5" applyNumberFormat="1" applyFont="1" applyAlignment="1">
      <alignment horizontal="center"/>
    </xf>
    <xf numFmtId="0" fontId="21" fillId="0" borderId="0" xfId="7" applyFont="1" applyAlignment="1">
      <alignment horizontal="center"/>
    </xf>
    <xf numFmtId="0" fontId="20" fillId="0" borderId="0" xfId="7" applyFont="1" applyAlignment="1">
      <alignment horizontal="left" wrapText="1"/>
    </xf>
    <xf numFmtId="0" fontId="27" fillId="15" borderId="5" xfId="0" applyFont="1" applyFill="1" applyBorder="1" applyAlignment="1" applyProtection="1">
      <alignment horizontal="center" vertical="center"/>
      <protection hidden="1"/>
    </xf>
    <xf numFmtId="0" fontId="27" fillId="15" borderId="19" xfId="0" applyFont="1" applyFill="1" applyBorder="1" applyAlignment="1" applyProtection="1">
      <alignment horizontal="center" vertical="center"/>
      <protection hidden="1"/>
    </xf>
    <xf numFmtId="0" fontId="2" fillId="6" borderId="13" xfId="0" applyFont="1" applyFill="1" applyBorder="1" applyAlignment="1" applyProtection="1">
      <alignment horizontal="left" vertical="center" wrapText="1"/>
      <protection hidden="1"/>
    </xf>
    <xf numFmtId="0" fontId="2" fillId="6" borderId="14" xfId="0" applyFont="1" applyFill="1" applyBorder="1" applyAlignment="1" applyProtection="1">
      <alignment horizontal="left" vertical="center" wrapText="1"/>
      <protection hidden="1"/>
    </xf>
    <xf numFmtId="0" fontId="2" fillId="6" borderId="3" xfId="0" applyFont="1" applyFill="1" applyBorder="1" applyAlignment="1" applyProtection="1">
      <alignment horizontal="left" vertical="center" wrapText="1"/>
      <protection hidden="1"/>
    </xf>
    <xf numFmtId="0" fontId="2" fillId="6" borderId="4" xfId="0" applyFont="1" applyFill="1" applyBorder="1" applyAlignment="1" applyProtection="1">
      <alignment horizontal="left" vertical="center" wrapText="1"/>
      <protection hidden="1"/>
    </xf>
    <xf numFmtId="0" fontId="2" fillId="6" borderId="17" xfId="0" applyFont="1" applyFill="1" applyBorder="1" applyAlignment="1" applyProtection="1">
      <alignment horizontal="left" vertical="center" wrapText="1"/>
      <protection hidden="1"/>
    </xf>
    <xf numFmtId="0" fontId="2" fillId="6" borderId="9" xfId="0" applyFont="1" applyFill="1" applyBorder="1" applyAlignment="1" applyProtection="1">
      <alignment horizontal="left" vertical="center" wrapText="1"/>
      <protection hidden="1"/>
    </xf>
    <xf numFmtId="0" fontId="27" fillId="15" borderId="1" xfId="0" applyFont="1" applyFill="1" applyBorder="1" applyAlignment="1" applyProtection="1">
      <alignment horizontal="center" vertical="center" wrapText="1"/>
      <protection hidden="1"/>
    </xf>
    <xf numFmtId="0" fontId="27" fillId="15" borderId="5" xfId="0" applyFont="1" applyFill="1" applyBorder="1" applyAlignment="1" applyProtection="1">
      <alignment horizontal="center" vertical="center" wrapText="1"/>
      <protection hidden="1"/>
    </xf>
    <xf numFmtId="0" fontId="27" fillId="15" borderId="19" xfId="0" applyFont="1" applyFill="1" applyBorder="1" applyAlignment="1" applyProtection="1">
      <alignment horizontal="center" vertical="center" wrapText="1"/>
      <protection hidden="1"/>
    </xf>
    <xf numFmtId="0" fontId="9" fillId="3" borderId="1" xfId="0" applyFont="1" applyFill="1" applyBorder="1" applyAlignment="1">
      <alignment horizontal="center"/>
    </xf>
    <xf numFmtId="0" fontId="2" fillId="3" borderId="13" xfId="0" applyFont="1" applyFill="1" applyBorder="1" applyAlignment="1">
      <alignment horizontal="left" wrapText="1"/>
    </xf>
    <xf numFmtId="0" fontId="2" fillId="3" borderId="14" xfId="0" applyFont="1" applyFill="1" applyBorder="1" applyAlignment="1">
      <alignment horizontal="left" wrapText="1"/>
    </xf>
    <xf numFmtId="0" fontId="2" fillId="3" borderId="6" xfId="0" applyFont="1" applyFill="1" applyBorder="1" applyAlignment="1">
      <alignment horizontal="left" wrapText="1"/>
    </xf>
    <xf numFmtId="0" fontId="2" fillId="3" borderId="15" xfId="0" applyFont="1" applyFill="1" applyBorder="1" applyAlignment="1">
      <alignment horizontal="left" wrapText="1"/>
    </xf>
    <xf numFmtId="0" fontId="2" fillId="3" borderId="0" xfId="0" applyFont="1" applyFill="1" applyAlignment="1">
      <alignment horizontal="left" wrapText="1"/>
    </xf>
    <xf numFmtId="0" fontId="2" fillId="3" borderId="16" xfId="0" applyFont="1" applyFill="1" applyBorder="1" applyAlignment="1">
      <alignment horizontal="left" wrapText="1"/>
    </xf>
    <xf numFmtId="0" fontId="2" fillId="3" borderId="17" xfId="0" applyFont="1" applyFill="1" applyBorder="1" applyAlignment="1">
      <alignment horizontal="left" wrapText="1"/>
    </xf>
    <xf numFmtId="0" fontId="2" fillId="3" borderId="9" xfId="0" applyFont="1" applyFill="1" applyBorder="1" applyAlignment="1">
      <alignment horizontal="left" wrapText="1"/>
    </xf>
    <xf numFmtId="0" fontId="2" fillId="3" borderId="7" xfId="0" applyFont="1" applyFill="1" applyBorder="1" applyAlignment="1">
      <alignment horizontal="left" wrapText="1"/>
    </xf>
    <xf numFmtId="0" fontId="9" fillId="5" borderId="1" xfId="0" applyFont="1" applyFill="1" applyBorder="1" applyAlignment="1">
      <alignment horizontal="center"/>
    </xf>
    <xf numFmtId="0" fontId="20" fillId="6" borderId="5" xfId="0" applyFont="1" applyFill="1" applyBorder="1" applyAlignment="1">
      <alignment horizontal="center" vertical="center" textRotation="90"/>
    </xf>
    <xf numFmtId="0" fontId="20" fillId="6" borderId="19" xfId="0" applyFont="1" applyFill="1" applyBorder="1" applyAlignment="1">
      <alignment horizontal="center" vertical="center" textRotation="90"/>
    </xf>
    <xf numFmtId="0" fontId="20" fillId="6" borderId="2" xfId="0" applyFont="1" applyFill="1" applyBorder="1" applyAlignment="1">
      <alignment horizontal="center" vertical="center" textRotation="90"/>
    </xf>
    <xf numFmtId="0" fontId="9" fillId="0" borderId="11" xfId="0" applyFont="1" applyBorder="1" applyAlignment="1">
      <alignment horizontal="center"/>
    </xf>
    <xf numFmtId="0" fontId="9" fillId="0" borderId="0" xfId="0" applyFont="1" applyAlignment="1">
      <alignment horizontal="center"/>
    </xf>
    <xf numFmtId="0" fontId="9" fillId="0" borderId="12" xfId="0" applyFont="1" applyBorder="1" applyAlignment="1">
      <alignment horizontal="center"/>
    </xf>
    <xf numFmtId="0" fontId="2" fillId="3" borderId="1" xfId="0" applyFont="1" applyFill="1" applyBorder="1"/>
    <xf numFmtId="0" fontId="9" fillId="16" borderId="1" xfId="0" applyFont="1" applyFill="1" applyBorder="1"/>
    <xf numFmtId="0" fontId="21" fillId="16" borderId="1" xfId="0" applyFont="1" applyFill="1" applyBorder="1" applyAlignment="1">
      <alignment vertical="center"/>
    </xf>
    <xf numFmtId="0" fontId="20" fillId="16" borderId="1" xfId="0" applyFont="1" applyFill="1" applyBorder="1"/>
    <xf numFmtId="0" fontId="9" fillId="3" borderId="1" xfId="0" applyFont="1" applyFill="1" applyBorder="1" applyAlignment="1">
      <alignment horizontal="left"/>
    </xf>
    <xf numFmtId="9" fontId="9" fillId="3" borderId="1" xfId="0" applyNumberFormat="1" applyFont="1" applyFill="1" applyBorder="1"/>
    <xf numFmtId="9" fontId="2" fillId="3" borderId="1" xfId="0" applyNumberFormat="1" applyFont="1" applyFill="1" applyBorder="1"/>
    <xf numFmtId="9" fontId="2" fillId="3" borderId="1" xfId="0" applyNumberFormat="1" applyFont="1" applyFill="1" applyBorder="1" applyAlignment="1">
      <alignment horizontal="left"/>
    </xf>
    <xf numFmtId="0" fontId="2" fillId="3" borderId="48" xfId="0" applyFont="1" applyFill="1" applyBorder="1" applyAlignment="1">
      <alignment horizontal="left"/>
    </xf>
    <xf numFmtId="3" fontId="2" fillId="0" borderId="51" xfId="0" applyNumberFormat="1" applyFont="1" applyBorder="1" applyProtection="1">
      <protection locked="0"/>
    </xf>
    <xf numFmtId="3" fontId="2" fillId="0" borderId="49" xfId="0" applyNumberFormat="1" applyFont="1" applyBorder="1" applyProtection="1">
      <protection locked="0"/>
    </xf>
    <xf numFmtId="3" fontId="9" fillId="6" borderId="54" xfId="0" applyNumberFormat="1" applyFont="1" applyFill="1" applyBorder="1" applyAlignment="1" applyProtection="1">
      <alignment horizontal="right"/>
      <protection hidden="1"/>
    </xf>
    <xf numFmtId="3" fontId="9" fillId="6" borderId="55" xfId="0" applyNumberFormat="1" applyFont="1" applyFill="1" applyBorder="1" applyAlignment="1" applyProtection="1">
      <alignment horizontal="right"/>
      <protection hidden="1"/>
    </xf>
    <xf numFmtId="0" fontId="2" fillId="25" borderId="0" xfId="0" applyFont="1" applyFill="1" applyAlignment="1" applyProtection="1">
      <alignment horizontal="center"/>
      <protection locked="0"/>
    </xf>
    <xf numFmtId="0" fontId="2" fillId="25" borderId="0" xfId="0" applyFont="1" applyFill="1" applyAlignment="1">
      <alignment horizontal="center"/>
    </xf>
    <xf numFmtId="3" fontId="20" fillId="0" borderId="59" xfId="0" applyNumberFormat="1" applyFont="1" applyBorder="1" applyProtection="1">
      <protection locked="0"/>
    </xf>
    <xf numFmtId="3" fontId="20" fillId="0" borderId="60" xfId="0" applyNumberFormat="1" applyFont="1" applyBorder="1" applyProtection="1">
      <protection locked="0"/>
    </xf>
    <xf numFmtId="3" fontId="2" fillId="0" borderId="59" xfId="0" applyNumberFormat="1" applyFont="1" applyBorder="1" applyProtection="1">
      <protection locked="0"/>
    </xf>
    <xf numFmtId="3" fontId="2" fillId="0" borderId="60" xfId="0" applyNumberFormat="1" applyFont="1" applyBorder="1" applyProtection="1">
      <protection locked="0"/>
    </xf>
    <xf numFmtId="3" fontId="29" fillId="14" borderId="0" xfId="0" applyNumberFormat="1" applyFont="1" applyFill="1" applyAlignment="1" applyProtection="1">
      <alignment horizontal="center"/>
      <protection hidden="1"/>
    </xf>
    <xf numFmtId="0" fontId="27" fillId="15" borderId="54" xfId="0" applyFont="1" applyFill="1" applyBorder="1" applyAlignment="1" applyProtection="1">
      <alignment horizontal="center" vertical="center"/>
      <protection hidden="1"/>
    </xf>
    <xf numFmtId="0" fontId="27" fillId="15" borderId="55" xfId="0" applyFont="1" applyFill="1" applyBorder="1" applyAlignment="1" applyProtection="1">
      <alignment horizontal="center" vertical="center"/>
      <protection hidden="1"/>
    </xf>
    <xf numFmtId="181" fontId="9" fillId="17" borderId="1" xfId="6" applyNumberFormat="1" applyFont="1" applyFill="1" applyBorder="1" applyAlignment="1" applyProtection="1">
      <alignment horizontal="left"/>
    </xf>
    <xf numFmtId="3" fontId="9" fillId="17" borderId="67" xfId="6" applyNumberFormat="1" applyFont="1" applyFill="1" applyBorder="1" applyAlignment="1" applyProtection="1">
      <alignment horizontal="left" wrapText="1"/>
    </xf>
    <xf numFmtId="181" fontId="2" fillId="30" borderId="1" xfId="6" applyNumberFormat="1" applyFont="1" applyFill="1" applyBorder="1" applyAlignment="1" applyProtection="1">
      <alignment horizontal="center"/>
      <protection locked="0"/>
    </xf>
    <xf numFmtId="3" fontId="9" fillId="6" borderId="3" xfId="6" applyNumberFormat="1" applyFont="1" applyFill="1" applyBorder="1" applyAlignment="1">
      <alignment horizontal="left"/>
    </xf>
    <xf numFmtId="3" fontId="9" fillId="6" borderId="4" xfId="6" applyNumberFormat="1" applyFont="1" applyFill="1" applyBorder="1" applyAlignment="1">
      <alignment horizontal="left"/>
    </xf>
    <xf numFmtId="3" fontId="9" fillId="6" borderId="8" xfId="6" applyNumberFormat="1" applyFont="1" applyFill="1" applyBorder="1" applyAlignment="1">
      <alignment horizontal="left"/>
    </xf>
    <xf numFmtId="181" fontId="9" fillId="17" borderId="1" xfId="6" applyNumberFormat="1" applyFont="1" applyFill="1" applyBorder="1" applyAlignment="1" applyProtection="1">
      <alignment horizontal="center"/>
      <protection locked="0"/>
    </xf>
    <xf numFmtId="181" fontId="2" fillId="11" borderId="1" xfId="6" applyNumberFormat="1" applyFont="1" applyFill="1" applyBorder="1" applyProtection="1"/>
    <xf numFmtId="181" fontId="19" fillId="11" borderId="1" xfId="6" applyNumberFormat="1" applyFont="1" applyFill="1" applyBorder="1" applyProtection="1"/>
    <xf numFmtId="3" fontId="2" fillId="6" borderId="67" xfId="6" applyNumberFormat="1" applyFont="1" applyFill="1" applyBorder="1" applyProtection="1">
      <protection locked="0"/>
    </xf>
    <xf numFmtId="3" fontId="29" fillId="14" borderId="0" xfId="0" applyNumberFormat="1" applyFont="1" applyFill="1" applyAlignment="1" applyProtection="1">
      <alignment horizontal="left"/>
      <protection hidden="1"/>
    </xf>
    <xf numFmtId="0" fontId="27" fillId="15" borderId="67" xfId="0" applyFont="1" applyFill="1" applyBorder="1" applyAlignment="1" applyProtection="1">
      <alignment horizontal="center"/>
      <protection hidden="1"/>
    </xf>
    <xf numFmtId="3" fontId="9" fillId="16" borderId="67" xfId="6" applyNumberFormat="1" applyFont="1" applyFill="1" applyBorder="1" applyAlignment="1" applyProtection="1">
      <alignment horizontal="center" vertical="center" wrapText="1"/>
    </xf>
    <xf numFmtId="3" fontId="2" fillId="6" borderId="67" xfId="6" applyNumberFormat="1" applyFont="1" applyFill="1" applyBorder="1" applyAlignment="1" applyProtection="1">
      <alignment horizontal="left"/>
      <protection locked="0"/>
    </xf>
    <xf numFmtId="0" fontId="82" fillId="15" borderId="0" xfId="0" applyFont="1" applyFill="1" applyAlignment="1">
      <alignment horizontal="left" vertical="top" wrapText="1"/>
    </xf>
    <xf numFmtId="0" fontId="80" fillId="0" borderId="0" xfId="0" applyFont="1" applyAlignment="1">
      <alignment horizontal="center" vertical="top" wrapText="1"/>
    </xf>
    <xf numFmtId="0" fontId="8" fillId="0" borderId="0" xfId="0" applyFont="1" applyAlignment="1">
      <alignment horizontal="center" vertical="top" wrapText="1"/>
    </xf>
    <xf numFmtId="0" fontId="82" fillId="15" borderId="0" xfId="0" applyFont="1" applyFill="1" applyAlignment="1">
      <alignment horizontal="center" vertical="top" wrapText="1"/>
    </xf>
    <xf numFmtId="173" fontId="2" fillId="0" borderId="0" xfId="5" applyNumberFormat="1" applyFont="1" applyFill="1"/>
    <xf numFmtId="176" fontId="5" fillId="2" borderId="0" xfId="5" applyNumberFormat="1" applyFill="1" applyAlignment="1">
      <alignment horizontal="right"/>
    </xf>
    <xf numFmtId="43" fontId="25" fillId="14" borderId="0" xfId="2" applyFont="1" applyFill="1" applyProtection="1">
      <protection locked="0"/>
    </xf>
    <xf numFmtId="43" fontId="25" fillId="2" borderId="0" xfId="2" applyFont="1" applyFill="1" applyProtection="1">
      <protection locked="0"/>
    </xf>
    <xf numFmtId="173" fontId="25" fillId="2" borderId="0" xfId="2" applyNumberFormat="1" applyFont="1" applyFill="1" applyProtection="1">
      <protection locked="0"/>
    </xf>
    <xf numFmtId="3" fontId="25" fillId="2" borderId="0" xfId="18" applyNumberFormat="1" applyFill="1" applyProtection="1">
      <protection locked="0"/>
    </xf>
    <xf numFmtId="41" fontId="9" fillId="2" borderId="0" xfId="0" applyNumberFormat="1" applyFont="1" applyFill="1"/>
    <xf numFmtId="0" fontId="85" fillId="2" borderId="0" xfId="0" applyFont="1" applyFill="1"/>
    <xf numFmtId="0" fontId="41" fillId="2" borderId="0" xfId="0" applyFont="1" applyFill="1"/>
    <xf numFmtId="0" fontId="85" fillId="2" borderId="0" xfId="0" applyFont="1" applyFill="1" applyAlignment="1">
      <alignment horizontal="center" vertical="center"/>
    </xf>
    <xf numFmtId="0" fontId="85" fillId="2" borderId="0" xfId="0" applyFont="1" applyFill="1" applyAlignment="1">
      <alignment horizontal="left"/>
    </xf>
    <xf numFmtId="0" fontId="85" fillId="2" borderId="0" xfId="0" applyFont="1" applyFill="1" applyAlignment="1">
      <alignment wrapText="1"/>
    </xf>
    <xf numFmtId="170" fontId="85" fillId="2" borderId="0" xfId="15" applyNumberFormat="1" applyFont="1" applyFill="1" applyAlignment="1">
      <alignment horizontal="center"/>
    </xf>
    <xf numFmtId="0" fontId="85" fillId="2" borderId="0" xfId="0" applyFont="1" applyFill="1" applyAlignment="1">
      <alignment horizontal="center"/>
    </xf>
    <xf numFmtId="0" fontId="41" fillId="2" borderId="0" xfId="22" applyFont="1" applyFill="1"/>
    <xf numFmtId="0" fontId="9" fillId="2" borderId="0" xfId="0" applyFont="1" applyFill="1"/>
  </cellXfs>
  <cellStyles count="23">
    <cellStyle name="Hipervínculo" xfId="1" builtinId="8"/>
    <cellStyle name="Hipervínculo 2" xfId="16" xr:uid="{00000000-0005-0000-0000-000001000000}"/>
    <cellStyle name="Hipervínculo 3" xfId="19" xr:uid="{00000000-0005-0000-0000-000002000000}"/>
    <cellStyle name="Millares" xfId="2" builtinId="3"/>
    <cellStyle name="Millares [0]" xfId="3" builtinId="6"/>
    <cellStyle name="Millares [0] 2" xfId="4" xr:uid="{00000000-0005-0000-0000-000005000000}"/>
    <cellStyle name="Millares [0] 3" xfId="12" xr:uid="{00000000-0005-0000-0000-000006000000}"/>
    <cellStyle name="Millares 2" xfId="5" xr:uid="{00000000-0005-0000-0000-000007000000}"/>
    <cellStyle name="Millares 3" xfId="6" xr:uid="{00000000-0005-0000-0000-000008000000}"/>
    <cellStyle name="Millares 3 2" xfId="17" xr:uid="{00000000-0005-0000-0000-000009000000}"/>
    <cellStyle name="Millares 4" xfId="15" xr:uid="{00000000-0005-0000-0000-00000A000000}"/>
    <cellStyle name="Millares 5" xfId="20" xr:uid="{00000000-0005-0000-0000-00000B000000}"/>
    <cellStyle name="Millares_Intereses presuntivos año 2006" xfId="21" xr:uid="{00000000-0005-0000-0000-00000C000000}"/>
    <cellStyle name="Normal" xfId="0" builtinId="0"/>
    <cellStyle name="Normal 2" xfId="7" xr:uid="{00000000-0005-0000-0000-00000E000000}"/>
    <cellStyle name="Normal 3" xfId="11" xr:uid="{00000000-0005-0000-0000-00000F000000}"/>
    <cellStyle name="Normal 3 2" xfId="13" xr:uid="{00000000-0005-0000-0000-000010000000}"/>
    <cellStyle name="Normal 3 3" xfId="18" xr:uid="{00000000-0005-0000-0000-000011000000}"/>
    <cellStyle name="Normal 6" xfId="22" xr:uid="{00000000-0005-0000-0000-000012000000}"/>
    <cellStyle name="Porcentaje" xfId="8" builtinId="5"/>
    <cellStyle name="Porcentaje 2" xfId="9" xr:uid="{00000000-0005-0000-0000-000014000000}"/>
    <cellStyle name="Porcentaje 3" xfId="14" xr:uid="{00000000-0005-0000-0000-000015000000}"/>
    <cellStyle name="Porcentual 2" xfId="10" xr:uid="{00000000-0005-0000-0000-000016000000}"/>
  </cellStyles>
  <dxfs count="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hyperlink" Target="#AUD!A10"/><Relationship Id="rId2" Type="http://schemas.openxmlformats.org/officeDocument/2006/relationships/image" Target="../media/image1.png"/><Relationship Id="rId1" Type="http://schemas.openxmlformats.org/officeDocument/2006/relationships/hyperlink" Target="#Rete!A5"/><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 perdid'!A12"/></Relationships>
</file>

<file path=xl/drawings/drawing1.xml><?xml version="1.0" encoding="utf-8"?>
<xdr:wsDr xmlns:xdr="http://schemas.openxmlformats.org/drawingml/2006/spreadsheetDrawing" xmlns:a="http://schemas.openxmlformats.org/drawingml/2006/main">
  <xdr:twoCellAnchor>
    <xdr:from>
      <xdr:col>5</xdr:col>
      <xdr:colOff>219075</xdr:colOff>
      <xdr:row>0</xdr:row>
      <xdr:rowOff>57150</xdr:rowOff>
    </xdr:from>
    <xdr:to>
      <xdr:col>12</xdr:col>
      <xdr:colOff>1114425</xdr:colOff>
      <xdr:row>3</xdr:row>
      <xdr:rowOff>104775</xdr:rowOff>
    </xdr:to>
    <xdr:sp macro="" textlink="">
      <xdr:nvSpPr>
        <xdr:cNvPr id="2" name="CuadroTexto 1">
          <a:extLst>
            <a:ext uri="{FF2B5EF4-FFF2-40B4-BE49-F238E27FC236}">
              <a16:creationId xmlns:a16="http://schemas.microsoft.com/office/drawing/2014/main" id="{2B477E03-10B5-4430-A7F0-8A59B00AC362}"/>
            </a:ext>
          </a:extLst>
        </xdr:cNvPr>
        <xdr:cNvSpPr txBox="1"/>
      </xdr:nvSpPr>
      <xdr:spPr>
        <a:xfrm>
          <a:off x="1257300" y="57150"/>
          <a:ext cx="10677525"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100"/>
        </a:p>
        <a:p>
          <a:r>
            <a:rPr lang="es-MX" sz="1600"/>
            <a:t>                            </a:t>
          </a:r>
        </a:p>
      </xdr:txBody>
    </xdr:sp>
    <xdr:clientData/>
  </xdr:twoCellAnchor>
  <xdr:twoCellAnchor>
    <xdr:from>
      <xdr:col>6</xdr:col>
      <xdr:colOff>304799</xdr:colOff>
      <xdr:row>0</xdr:row>
      <xdr:rowOff>104774</xdr:rowOff>
    </xdr:from>
    <xdr:to>
      <xdr:col>12</xdr:col>
      <xdr:colOff>200025</xdr:colOff>
      <xdr:row>3</xdr:row>
      <xdr:rowOff>19049</xdr:rowOff>
    </xdr:to>
    <xdr:sp macro="" textlink="">
      <xdr:nvSpPr>
        <xdr:cNvPr id="3" name="CuadroTexto 2">
          <a:extLst>
            <a:ext uri="{FF2B5EF4-FFF2-40B4-BE49-F238E27FC236}">
              <a16:creationId xmlns:a16="http://schemas.microsoft.com/office/drawing/2014/main" id="{95BB9180-5FE6-48DE-9978-E1825766315A}"/>
            </a:ext>
          </a:extLst>
        </xdr:cNvPr>
        <xdr:cNvSpPr txBox="1"/>
      </xdr:nvSpPr>
      <xdr:spPr>
        <a:xfrm>
          <a:off x="3448049" y="104774"/>
          <a:ext cx="7572376"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MX" sz="2000">
              <a:solidFill>
                <a:schemeClr val="bg1">
                  <a:lumMod val="50000"/>
                </a:schemeClr>
              </a:solidFill>
              <a:effectLst/>
              <a:latin typeface="Arial" panose="020B0604020202020204" pitchFamily="34" charset="0"/>
              <a:ea typeface="+mn-ea"/>
              <a:cs typeface="Arial" panose="020B0604020202020204" pitchFamily="34" charset="0"/>
            </a:rPr>
            <a:t>ANEXO DE AUTORRETENCION</a:t>
          </a:r>
          <a:r>
            <a:rPr lang="es-MX" sz="2000" baseline="0">
              <a:solidFill>
                <a:schemeClr val="bg1">
                  <a:lumMod val="50000"/>
                </a:schemeClr>
              </a:solidFill>
              <a:effectLst/>
              <a:latin typeface="Arial" panose="020B0604020202020204" pitchFamily="34" charset="0"/>
              <a:ea typeface="+mn-ea"/>
              <a:cs typeface="Arial" panose="020B0604020202020204" pitchFamily="34" charset="0"/>
            </a:rPr>
            <a:t> Y </a:t>
          </a:r>
          <a:r>
            <a:rPr lang="es-MX" sz="2000">
              <a:solidFill>
                <a:schemeClr val="bg1">
                  <a:lumMod val="50000"/>
                </a:schemeClr>
              </a:solidFill>
              <a:effectLst/>
              <a:latin typeface="Arial" panose="020B0604020202020204" pitchFamily="34" charset="0"/>
              <a:ea typeface="+mn-ea"/>
              <a:cs typeface="Arial" panose="020B0604020202020204" pitchFamily="34" charset="0"/>
            </a:rPr>
            <a:t> RETEFUENTES A FAVOR</a:t>
          </a:r>
          <a:endParaRPr lang="es-MX" sz="2000">
            <a:solidFill>
              <a:schemeClr val="bg1">
                <a:lumMod val="50000"/>
              </a:schemeClr>
            </a:solidFill>
            <a:effectLst/>
            <a:latin typeface="Arial" panose="020B0604020202020204" pitchFamily="34" charset="0"/>
            <a:cs typeface="Arial" panose="020B0604020202020204" pitchFamily="34" charset="0"/>
          </a:endParaRPr>
        </a:p>
        <a:p>
          <a:endParaRPr lang="es-MX" sz="2000">
            <a:solidFill>
              <a:schemeClr val="bg1">
                <a:lumMod val="50000"/>
              </a:schemeClr>
            </a:solidFill>
            <a:latin typeface="Arial" panose="020B0604020202020204" pitchFamily="34" charset="0"/>
            <a:cs typeface="Arial" panose="020B0604020202020204" pitchFamily="34" charset="0"/>
          </a:endParaRPr>
        </a:p>
      </xdr:txBody>
    </xdr:sp>
    <xdr:clientData/>
  </xdr:twoCellAnchor>
  <xdr:twoCellAnchor editAs="oneCell">
    <xdr:from>
      <xdr:col>13</xdr:col>
      <xdr:colOff>123825</xdr:colOff>
      <xdr:row>0</xdr:row>
      <xdr:rowOff>85725</xdr:rowOff>
    </xdr:from>
    <xdr:to>
      <xdr:col>13</xdr:col>
      <xdr:colOff>123825</xdr:colOff>
      <xdr:row>2</xdr:row>
      <xdr:rowOff>66675</xdr:rowOff>
    </xdr:to>
    <xdr:pic>
      <xdr:nvPicPr>
        <xdr:cNvPr id="4" name="Imagen 3" descr="Imagen relacionada">
          <a:hlinkClick xmlns:r="http://schemas.openxmlformats.org/officeDocument/2006/relationships" r:id="rId1" tooltip="Arriba"/>
          <a:extLst>
            <a:ext uri="{FF2B5EF4-FFF2-40B4-BE49-F238E27FC236}">
              <a16:creationId xmlns:a16="http://schemas.microsoft.com/office/drawing/2014/main" id="{6070B55F-57FC-4D13-AB2F-DFEC761AA5F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077700" y="85725"/>
          <a:ext cx="441183" cy="333375"/>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twoCellAnchor>
  <xdr:twoCellAnchor editAs="oneCell">
    <xdr:from>
      <xdr:col>12</xdr:col>
      <xdr:colOff>352425</xdr:colOff>
      <xdr:row>1</xdr:row>
      <xdr:rowOff>38100</xdr:rowOff>
    </xdr:from>
    <xdr:to>
      <xdr:col>12</xdr:col>
      <xdr:colOff>352425</xdr:colOff>
      <xdr:row>2</xdr:row>
      <xdr:rowOff>136072</xdr:rowOff>
    </xdr:to>
    <xdr:pic>
      <xdr:nvPicPr>
        <xdr:cNvPr id="5" name="Imagen 4">
          <a:hlinkClick xmlns:r="http://schemas.openxmlformats.org/officeDocument/2006/relationships" r:id="rId3" tooltip="Auditoría"/>
          <a:extLst>
            <a:ext uri="{FF2B5EF4-FFF2-40B4-BE49-F238E27FC236}">
              <a16:creationId xmlns:a16="http://schemas.microsoft.com/office/drawing/2014/main" id="{BF099325-82A9-4817-87B9-CC6999B84EDD}"/>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1172825" y="171450"/>
          <a:ext cx="285750" cy="269422"/>
        </a:xfrm>
        <a:prstGeom prst="rect">
          <a:avLst/>
        </a:prstGeom>
      </xdr:spPr>
    </xdr:pic>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29</xdr:col>
      <xdr:colOff>685800</xdr:colOff>
      <xdr:row>0</xdr:row>
      <xdr:rowOff>114300</xdr:rowOff>
    </xdr:from>
    <xdr:to>
      <xdr:col>30</xdr:col>
      <xdr:colOff>276225</xdr:colOff>
      <xdr:row>2</xdr:row>
      <xdr:rowOff>56756</xdr:rowOff>
    </xdr:to>
    <xdr:pic>
      <xdr:nvPicPr>
        <xdr:cNvPr id="2" name="Imagen 1" descr="Imagen relacionada">
          <a:hlinkClick xmlns:r="http://schemas.openxmlformats.org/officeDocument/2006/relationships" r:id="rId1" tooltip="Subir"/>
          <a:extLst>
            <a:ext uri="{FF2B5EF4-FFF2-40B4-BE49-F238E27FC236}">
              <a16:creationId xmlns:a16="http://schemas.microsoft.com/office/drawing/2014/main" id="{198C6B90-9A7F-4949-B94B-4E6EAA2964F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15725" y="714375"/>
          <a:ext cx="352425" cy="266306"/>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Business%20Tax%202020\Business%20110%20TAX%20v1.7%202020%20-Basica%20-%20LEONARDO%20VARON.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Ceitac\Ejercicio%20renta%202020\Business%20110%20TAX%20v1.7%202020%20-Basica%20-%20LEONARDO%20VAR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plan_piloto_AIPP_modificado_juni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ggonzalezv\AppData\Local\Temp\Temp3_100066173967142.zip\100066173967142\100066173967142-AIPP-860005224-2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DG"/>
      <sheetName val="BCE"/>
      <sheetName val="PUC"/>
      <sheetName val="110"/>
      <sheetName val="Sumaria"/>
      <sheetName val="A1"/>
      <sheetName val="A2"/>
      <sheetName val="A3"/>
      <sheetName val="A4"/>
      <sheetName val="A5"/>
      <sheetName val="A6"/>
      <sheetName val="A8"/>
      <sheetName val="A7"/>
      <sheetName val="A9"/>
      <sheetName val="A10"/>
      <sheetName val="A11"/>
      <sheetName val="A12"/>
      <sheetName val="A13"/>
      <sheetName val="A14"/>
      <sheetName val="A15"/>
      <sheetName val="A16"/>
      <sheetName val="A17"/>
      <sheetName val="A18"/>
      <sheetName val="A19"/>
      <sheetName val="A20"/>
      <sheetName val="A21"/>
      <sheetName val="A22"/>
      <sheetName val="A23"/>
      <sheetName val="A24"/>
      <sheetName val="A25"/>
      <sheetName val="110 F2516"/>
      <sheetName val="ESF"/>
      <sheetName val="ERI"/>
      <sheetName val="Caratula"/>
      <sheetName val="Resumen"/>
      <sheetName val="I Diferido"/>
      <sheetName val="Ing y Fact"/>
      <sheetName val="AF"/>
      <sheetName val="AUD"/>
      <sheetName val="DIV"/>
      <sheetName val="INCRNGO"/>
      <sheetName val="Difcamb"/>
      <sheetName val="I estimado"/>
      <sheetName val="P estimado"/>
      <sheetName val="Deprec"/>
      <sheetName val="amort"/>
      <sheetName val="Desct"/>
      <sheetName val="Ivabc"/>
      <sheetName val="ICA"/>
      <sheetName val="PREDIAL"/>
      <sheetName val="GMF"/>
      <sheetName val="EPS"/>
      <sheetName val="AFP"/>
      <sheetName val="ARP"/>
      <sheetName val="APF"/>
      <sheetName val="Ajust"/>
      <sheetName val="Rete"/>
      <sheetName val="P cartera"/>
      <sheetName val="VAF&lt;2AÑOS"/>
      <sheetName val="VAF&gt;2AÑOS"/>
      <sheetName val="vtacciones"/>
      <sheetName val="G Ext"/>
      <sheetName val="Rgrav"/>
      <sheetName val="D107-1"/>
      <sheetName val="Dinv"/>
      <sheetName val="C perdid"/>
      <sheetName val="C excrp"/>
      <sheetName val="subcap"/>
      <sheetName val="ECE"/>
      <sheetName val="CA"/>
      <sheetName val="RTE"/>
      <sheetName val="OI"/>
      <sheetName val="I presun"/>
      <sheetName val="R cedular"/>
      <sheetName val="R exentas"/>
      <sheetName val="Desc1429"/>
      <sheetName val="GO"/>
      <sheetName val="C ingresos"/>
      <sheetName val="oc"/>
      <sheetName val="Rt"/>
      <sheetName val="RIVA"/>
      <sheetName val="Resumeni"/>
      <sheetName val="Rcyg"/>
      <sheetName val="Fexog"/>
      <sheetName val="Ecostos"/>
      <sheetName val="Pefect"/>
      <sheetName val="Conc util"/>
      <sheetName val="Conc patr"/>
      <sheetName val="J patrim"/>
      <sheetName val="MMD"/>
      <sheetName val="prestac"/>
      <sheetName val="Antic"/>
      <sheetName val="R Presuntiva"/>
      <sheetName val="Printsumar"/>
      <sheetName val="Ded 30%"/>
      <sheetName val="Cal"/>
      <sheetName val="noti"/>
      <sheetName val="Proc-01"/>
      <sheetName val="Sancion"/>
      <sheetName val="OCV"/>
      <sheetName val="TO"/>
      <sheetName val="JNC"/>
      <sheetName val="C"/>
      <sheetName val="Claves"/>
      <sheetName val="A"/>
      <sheetName val="1"/>
      <sheetName val="Listas"/>
      <sheetName val="Conf"/>
    </sheetNames>
    <sheetDataSet>
      <sheetData sheetId="0">
        <row r="20000">
          <cell r="A20000">
            <v>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row r="10">
          <cell r="C10" t="str">
            <v>Renta Año gravable 2020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DG"/>
      <sheetName val="BCE"/>
      <sheetName val="PUC"/>
      <sheetName val="110"/>
      <sheetName val="Sumaria"/>
      <sheetName val="A1"/>
      <sheetName val="A2"/>
      <sheetName val="A3"/>
      <sheetName val="A4"/>
      <sheetName val="A5"/>
      <sheetName val="A6"/>
      <sheetName val="A8"/>
      <sheetName val="A7"/>
      <sheetName val="A9"/>
      <sheetName val="A10"/>
      <sheetName val="A11"/>
      <sheetName val="A12"/>
      <sheetName val="A13"/>
      <sheetName val="A14"/>
      <sheetName val="A15"/>
      <sheetName val="A16"/>
      <sheetName val="A17"/>
      <sheetName val="A18"/>
      <sheetName val="A19"/>
      <sheetName val="A20"/>
      <sheetName val="A21"/>
      <sheetName val="A22"/>
      <sheetName val="A23"/>
      <sheetName val="A24"/>
      <sheetName val="A25"/>
      <sheetName val="110 F2516"/>
      <sheetName val="ESF"/>
      <sheetName val="ERI"/>
      <sheetName val="Caratula"/>
      <sheetName val="Resumen"/>
      <sheetName val="I Diferido"/>
      <sheetName val="Ing y Fact"/>
      <sheetName val="AF"/>
      <sheetName val="AUD"/>
      <sheetName val="DIV"/>
      <sheetName val="INCRNGO"/>
      <sheetName val="Difcamb"/>
      <sheetName val="I estimado"/>
      <sheetName val="P estimado"/>
      <sheetName val="Deprec"/>
      <sheetName val="amort"/>
      <sheetName val="Desct"/>
      <sheetName val="Ivabc"/>
      <sheetName val="ICA"/>
      <sheetName val="PREDIAL"/>
      <sheetName val="GMF"/>
      <sheetName val="EPS"/>
      <sheetName val="AFP"/>
      <sheetName val="ARP"/>
      <sheetName val="APF"/>
      <sheetName val="Ajust"/>
      <sheetName val="Rete"/>
      <sheetName val="P cartera"/>
      <sheetName val="VAF&lt;2AÑOS"/>
      <sheetName val="VAF&gt;2AÑOS"/>
      <sheetName val="vtacciones"/>
      <sheetName val="G Ext"/>
      <sheetName val="Rgrav"/>
      <sheetName val="D107-1"/>
      <sheetName val="Dinv"/>
      <sheetName val="C perdid"/>
      <sheetName val="C excrp"/>
      <sheetName val="subcap"/>
      <sheetName val="ECE"/>
      <sheetName val="CA"/>
      <sheetName val="RTE"/>
      <sheetName val="OI"/>
      <sheetName val="I presun"/>
      <sheetName val="R cedular"/>
      <sheetName val="R exentas"/>
      <sheetName val="Desc1429"/>
      <sheetName val="GO"/>
      <sheetName val="C ingresos"/>
      <sheetName val="oc"/>
      <sheetName val="Rt"/>
      <sheetName val="RIVA"/>
      <sheetName val="Resumeni"/>
      <sheetName val="Rcyg"/>
      <sheetName val="Fexog"/>
      <sheetName val="Ecostos"/>
      <sheetName val="Pefect"/>
      <sheetName val="Conc util"/>
      <sheetName val="Conc patr"/>
      <sheetName val="J patrim"/>
      <sheetName val="MMD"/>
      <sheetName val="prestac"/>
      <sheetName val="Antic"/>
      <sheetName val="R Presuntiva"/>
      <sheetName val="Printsumar"/>
      <sheetName val="Ded 30%"/>
      <sheetName val="Cal"/>
      <sheetName val="noti"/>
      <sheetName val="Proc-01"/>
      <sheetName val="Sancion"/>
      <sheetName val="OCV"/>
      <sheetName val="TO"/>
      <sheetName val="JNC"/>
      <sheetName val="C"/>
      <sheetName val="Claves"/>
      <sheetName val="A"/>
      <sheetName val="1"/>
      <sheetName val="Listas"/>
      <sheetName val="Con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row r="9">
          <cell r="C9">
            <v>2020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Lists"/>
      <sheetName val="Anexo 1 carátula"/>
      <sheetName val="Anexo 2 conc. contab-fiscal"/>
      <sheetName val="Anexo 3 ESF"/>
      <sheetName val="Anexo 4 ERP"/>
      <sheetName val="Anexo 5 ORI"/>
      <sheetName val="Anexo 6 PPE, PI,, ANCMV"/>
      <sheetName val="ANEXO 7 Diferencias perm y temp"/>
      <sheetName val="Anexo 8 Cuentas por cobrar"/>
      <sheetName val="Anexo 9 Activos Intangibles"/>
      <sheetName val="Anexo 10 Pasivo"/>
      <sheetName val="H1 (Caratula)"/>
      <sheetName val="Listas"/>
      <sheetName val="DATOS170510"/>
      <sheetName val="Hoja2"/>
      <sheetName val="Hoja3"/>
    </sheetNames>
    <sheetDataSet>
      <sheetData sheetId="0">
        <row r="3">
          <cell r="AQ3" t="str">
            <v>Reglones formulario Renta 110</v>
          </cell>
        </row>
      </sheetData>
      <sheetData sheetId="1">
        <row r="3">
          <cell r="AQ3" t="str">
            <v>Reglones formulario Renta 110</v>
          </cell>
        </row>
        <row r="4">
          <cell r="AQ4" t="str">
            <v>30-Total costos y gastos de nómina</v>
          </cell>
        </row>
        <row r="5">
          <cell r="AQ5" t="str">
            <v>31-Aportes al sistema de seguridad social</v>
          </cell>
        </row>
        <row r="6">
          <cell r="AQ6" t="str">
            <v>32-Aportes al SENA, ICBF, cajas de compensación</v>
          </cell>
        </row>
        <row r="7">
          <cell r="AQ7" t="str">
            <v>33-Efectivo, bancos, otras inversiones</v>
          </cell>
        </row>
        <row r="8">
          <cell r="AQ8" t="str">
            <v>34-Acciones y aportes (Sociedades anónimas, limitadas y asimiladas)</v>
          </cell>
        </row>
        <row r="9">
          <cell r="AQ9" t="str">
            <v>35-Cuentas por cobrar</v>
          </cell>
        </row>
        <row r="10">
          <cell r="AQ10" t="str">
            <v>36-Inventarios</v>
          </cell>
        </row>
        <row r="11">
          <cell r="AQ11" t="str">
            <v>37-Activos fijos</v>
          </cell>
        </row>
        <row r="12">
          <cell r="AQ12" t="str">
            <v>38-Otros activos</v>
          </cell>
        </row>
        <row r="13">
          <cell r="AQ13" t="str">
            <v>39-Total patrimonio bruto. (Sume 33 a 38)</v>
          </cell>
        </row>
        <row r="14">
          <cell r="AQ14" t="str">
            <v>40-Pasivos</v>
          </cell>
        </row>
        <row r="15">
          <cell r="AQ15" t="str">
            <v>41-Total patrimonio líquido (39-40, si el resultado es negativo escriba 0)</v>
          </cell>
        </row>
        <row r="16">
          <cell r="AQ16" t="str">
            <v>42-Ingresos brutos operacionales</v>
          </cell>
        </row>
        <row r="17">
          <cell r="AQ17" t="str">
            <v>43-Ingresos brutos no operacionales</v>
          </cell>
        </row>
        <row r="18">
          <cell r="AQ18" t="str">
            <v>44-Intereses y rendimientos financieros</v>
          </cell>
        </row>
        <row r="19">
          <cell r="AQ19" t="str">
            <v>45-Total ingresos brutos (Sume 42 a 44)</v>
          </cell>
        </row>
        <row r="20">
          <cell r="AQ20" t="str">
            <v>46-Devoluciones, rebajas y descuentos en ventas</v>
          </cell>
        </row>
        <row r="21">
          <cell r="AQ21" t="str">
            <v>47-Ingresos no constitutivos de renta ni ganancia 
ocasional</v>
          </cell>
        </row>
        <row r="22">
          <cell r="AQ22" t="str">
            <v>48-Total ingresos netos (45 - 46 - 47)</v>
          </cell>
        </row>
        <row r="23">
          <cell r="AQ23" t="str">
            <v>49-Costo de ventas y de prestación de servicios</v>
          </cell>
        </row>
        <row r="24">
          <cell r="AQ24" t="str">
            <v>50-Otros costos</v>
          </cell>
        </row>
        <row r="25">
          <cell r="AQ25" t="str">
            <v>51-Total costos (49 + 50)</v>
          </cell>
        </row>
        <row r="26">
          <cell r="AQ26" t="str">
            <v>52-Gastos operacionales de administración</v>
          </cell>
        </row>
        <row r="27">
          <cell r="AQ27" t="str">
            <v>53-Gastos operacionales de ventas</v>
          </cell>
        </row>
        <row r="28">
          <cell r="AQ28" t="str">
            <v>54-Deducción inversiones en activos fijos</v>
          </cell>
        </row>
        <row r="29">
          <cell r="AQ29" t="str">
            <v>55-Otras deducciones</v>
          </cell>
        </row>
        <row r="30">
          <cell r="AQ30" t="str">
            <v>56-Total deducciones (Sume 52 a 55)</v>
          </cell>
        </row>
        <row r="31">
          <cell r="AQ31" t="str">
            <v>57-Renta líquida ordinaria del ejercicio (48 - 51 - 56, si el resultado es negativo escriba 0)</v>
          </cell>
        </row>
        <row r="32">
          <cell r="AQ32" t="str">
            <v>58-o Pérdida líquida del ejercicio (51 + 56 - 48, si el resultado es negativo escriba 0)</v>
          </cell>
        </row>
        <row r="33">
          <cell r="AQ33" t="str">
            <v>59-Compensaciones</v>
          </cell>
        </row>
        <row r="34">
          <cell r="AQ34" t="str">
            <v>60-Renta líquida (57 - 59)</v>
          </cell>
        </row>
        <row r="35">
          <cell r="AQ35" t="str">
            <v>61-Renta presuntiva</v>
          </cell>
        </row>
        <row r="36">
          <cell r="AQ36" t="str">
            <v>62-Renta exenta</v>
          </cell>
        </row>
        <row r="37">
          <cell r="AQ37" t="str">
            <v>63-Rentas gravables</v>
          </cell>
        </row>
        <row r="38">
          <cell r="AQ38" t="str">
            <v>64-Renta líquida gravable (Al mayor valor entre 60 y 61, reste 62 y sume 63)</v>
          </cell>
        </row>
        <row r="39">
          <cell r="AQ39" t="str">
            <v>65-Ingresos por ganancias ocasionales</v>
          </cell>
        </row>
        <row r="40">
          <cell r="AQ40" t="str">
            <v>66-Costos por ganancias ocasionales</v>
          </cell>
        </row>
        <row r="41">
          <cell r="AQ41" t="str">
            <v>67-Ganancias ocasionales no gravadas y exentas</v>
          </cell>
        </row>
        <row r="42">
          <cell r="AQ42" t="str">
            <v>68-Ganancias ocasionales gravables (65 - 66 - 67)</v>
          </cell>
        </row>
        <row r="43">
          <cell r="AQ43" t="str">
            <v>69-Impuesto sobre la renta líquida gravable</v>
          </cell>
        </row>
        <row r="44">
          <cell r="AQ44" t="str">
            <v>70-Descuentos tributarios</v>
          </cell>
        </row>
        <row r="45">
          <cell r="AQ45" t="str">
            <v>71-Impuesto neto de renta (69 - 70)</v>
          </cell>
        </row>
        <row r="46">
          <cell r="AQ46" t="str">
            <v>72-Impuesto de ganancias ocasionales</v>
          </cell>
        </row>
        <row r="47">
          <cell r="AQ47" t="str">
            <v>73-Descuentos por impuestos pagados en el exterior por ganancias ocasionales</v>
          </cell>
        </row>
        <row r="48">
          <cell r="AQ48" t="str">
            <v>74-Total impuesto a cargo (71 + 72 - 73)</v>
          </cell>
        </row>
        <row r="49">
          <cell r="AQ49" t="str">
            <v>75-Anticipo renta por el año gravable 2015 (Casilla 80 declaración 2014)</v>
          </cell>
        </row>
        <row r="50">
          <cell r="AQ50" t="str">
            <v>76-Saldo a favor año 2014 sin solicitud de devolución o
compensación (Casilla 84 declaración 2014)</v>
          </cell>
        </row>
        <row r="51">
          <cell r="AQ51" t="str">
            <v>77-Autorretenciones</v>
          </cell>
        </row>
        <row r="52">
          <cell r="AQ52" t="str">
            <v>78-Otras retenciones</v>
          </cell>
        </row>
        <row r="53">
          <cell r="AQ53" t="str">
            <v>79-Total retenciones año gravable 2015 (77 + 78)</v>
          </cell>
        </row>
        <row r="54">
          <cell r="AQ54" t="str">
            <v>80-Anticipo renta por el año gravable 2016</v>
          </cell>
        </row>
        <row r="55">
          <cell r="AQ55" t="str">
            <v>81-Saldo a pagar por impuesto (74 + 80 - 75 - 76 - 79, si el resultado es negativo escriba 0)</v>
          </cell>
        </row>
        <row r="56">
          <cell r="AQ56" t="str">
            <v>82-Sanciones</v>
          </cell>
        </row>
        <row r="57">
          <cell r="AQ57" t="str">
            <v>83-Total saldo a pagar (74 + 80 + 82 - 75 -76 - 79 si el resultado es negativo escriba 0)</v>
          </cell>
        </row>
        <row r="58">
          <cell r="AQ58" t="str">
            <v>84-o Total saldo a favor (75 + 76 + 79 - 74 - 80 - 82 si el resultado es negativo escriba 0)</v>
          </cell>
        </row>
      </sheetData>
      <sheetData sheetId="2">
        <row r="3">
          <cell r="AQ3" t="str">
            <v>Reglones formulario Renta 110</v>
          </cell>
        </row>
      </sheetData>
      <sheetData sheetId="3"/>
      <sheetData sheetId="4"/>
      <sheetData sheetId="5"/>
      <sheetData sheetId="6"/>
      <sheetData sheetId="7"/>
      <sheetData sheetId="8"/>
      <sheetData sheetId="9"/>
      <sheetData sheetId="10"/>
      <sheetData sheetId="11"/>
      <sheetData sheetId="12" refreshError="1"/>
      <sheetData sheetId="13" refreshError="1"/>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
      <sheetName val="Anexo 1 carátula"/>
      <sheetName val="Anexo 2 conc. contab-fiscal"/>
      <sheetName val="Anexo 3 ESF"/>
      <sheetName val="Anexo 4 ERP"/>
      <sheetName val="Anexo 5 ORI"/>
      <sheetName val="Anexo 6 PPE, PI,, ANCMV"/>
      <sheetName val="ANEXO 7 Diferencias perm y temp"/>
      <sheetName val="Anexo 8 Cuentas por cobrar"/>
      <sheetName val="Anexo 9 Activos Intangibles"/>
      <sheetName val="Anexo 10 Pasivo"/>
    </sheetNames>
    <sheetDataSet>
      <sheetData sheetId="0">
        <row r="3">
          <cell r="AQ3" t="str">
            <v>Reglones formulario Renta 110</v>
          </cell>
        </row>
        <row r="4">
          <cell r="AQ4" t="str">
            <v>30-Total costos y gastos de nómina</v>
          </cell>
        </row>
        <row r="5">
          <cell r="AQ5" t="str">
            <v>31-Aportes al sistema de seguridad social</v>
          </cell>
        </row>
        <row r="6">
          <cell r="AQ6" t="str">
            <v>32-Aportes al SENA, ICBF, cajas de compensación</v>
          </cell>
        </row>
        <row r="7">
          <cell r="AQ7" t="str">
            <v>33-Efectivo, bancos, otras inversiones</v>
          </cell>
        </row>
        <row r="8">
          <cell r="AQ8" t="str">
            <v>34-Acciones y aportes (Sociedades anónimas, limitadas y asimiladas)</v>
          </cell>
        </row>
        <row r="9">
          <cell r="AQ9" t="str">
            <v>35-Cuentas por cobrar</v>
          </cell>
        </row>
        <row r="10">
          <cell r="AQ10" t="str">
            <v>36-Inventarios</v>
          </cell>
        </row>
        <row r="11">
          <cell r="AQ11" t="str">
            <v>37-Activos fijos</v>
          </cell>
        </row>
        <row r="12">
          <cell r="AQ12" t="str">
            <v>38-Otros activos</v>
          </cell>
        </row>
        <row r="13">
          <cell r="AQ13" t="str">
            <v>39-Total patrimonio bruto. (Sume 33 a 38)</v>
          </cell>
        </row>
        <row r="14">
          <cell r="AQ14" t="str">
            <v>40-Pasivos</v>
          </cell>
        </row>
        <row r="15">
          <cell r="AQ15" t="str">
            <v>41-Total patrimonio líquido (39-40, si el resultado es negativo escriba 0)</v>
          </cell>
        </row>
        <row r="16">
          <cell r="AQ16" t="str">
            <v>42-Ingresos brutos operacionales</v>
          </cell>
        </row>
        <row r="17">
          <cell r="AQ17" t="str">
            <v>43-Ingresos brutos no operacionales</v>
          </cell>
        </row>
        <row r="18">
          <cell r="AQ18" t="str">
            <v>44-Intereses y rendimientos financieros</v>
          </cell>
        </row>
        <row r="19">
          <cell r="AQ19" t="str">
            <v>45-Total ingresos brutos (Sume 42 a 44)</v>
          </cell>
        </row>
        <row r="20">
          <cell r="AQ20" t="str">
            <v>46-Devoluciones, rebajas y descuentos en ventas</v>
          </cell>
        </row>
        <row r="21">
          <cell r="AQ21" t="str">
            <v>47-Ingresos no constitutivos de renta ni ganancia 
ocasional</v>
          </cell>
        </row>
        <row r="22">
          <cell r="AQ22" t="str">
            <v>48-Total ingresos netos (45 - 46 - 47)</v>
          </cell>
        </row>
        <row r="23">
          <cell r="AQ23" t="str">
            <v>49-Costo de ventas y de prestación de servicios</v>
          </cell>
        </row>
        <row r="24">
          <cell r="AQ24" t="str">
            <v>50-Otros costos</v>
          </cell>
        </row>
        <row r="25">
          <cell r="AQ25" t="str">
            <v>51-Total costos (49 + 50)</v>
          </cell>
        </row>
        <row r="26">
          <cell r="AQ26" t="str">
            <v>52-Gastos operacionales de administración</v>
          </cell>
        </row>
        <row r="27">
          <cell r="AQ27" t="str">
            <v>53-Gastos operacionales de ventas</v>
          </cell>
        </row>
        <row r="28">
          <cell r="AQ28" t="str">
            <v>54-Deducción inversiones en activos fijos</v>
          </cell>
        </row>
        <row r="29">
          <cell r="AQ29" t="str">
            <v>55-Otras deducciones</v>
          </cell>
        </row>
        <row r="30">
          <cell r="AQ30" t="str">
            <v>56-Total deducciones (Sume 52 a 55)</v>
          </cell>
        </row>
        <row r="31">
          <cell r="AQ31" t="str">
            <v>57-Renta líquida ordinaria del ejercicio (48 - 51 - 56, si el resultado es negativo escriba 0)</v>
          </cell>
        </row>
        <row r="32">
          <cell r="AQ32" t="str">
            <v>58-o Pérdida líquida del ejercicio (51 + 56 - 48, si el resultado es negativo escriba 0)</v>
          </cell>
        </row>
        <row r="33">
          <cell r="AQ33" t="str">
            <v>59-Compensaciones</v>
          </cell>
        </row>
        <row r="34">
          <cell r="AQ34" t="str">
            <v>60-Renta líquida (57 - 59)</v>
          </cell>
        </row>
        <row r="35">
          <cell r="AQ35" t="str">
            <v>61-Renta presuntiva</v>
          </cell>
        </row>
        <row r="36">
          <cell r="AQ36" t="str">
            <v>62-Renta exenta</v>
          </cell>
        </row>
        <row r="37">
          <cell r="AQ37" t="str">
            <v>63-Rentas gravables</v>
          </cell>
        </row>
        <row r="38">
          <cell r="AQ38" t="str">
            <v>64-Renta líquida gravable (Al mayor valor entre 60 y 61, reste 62 y sume 63)</v>
          </cell>
        </row>
        <row r="39">
          <cell r="AQ39" t="str">
            <v>65-Ingresos por ganancias ocasionales</v>
          </cell>
        </row>
        <row r="40">
          <cell r="AQ40" t="str">
            <v>66-Costos por ganancias ocasionales</v>
          </cell>
        </row>
        <row r="41">
          <cell r="AQ41" t="str">
            <v>67-Ganancias ocasionales no gravadas y exentas</v>
          </cell>
        </row>
        <row r="42">
          <cell r="AQ42" t="str">
            <v>68-Ganancias ocasionales gravables (65 - 66 - 67)</v>
          </cell>
        </row>
        <row r="43">
          <cell r="AQ43" t="str">
            <v>69-Impuesto sobre la renta líquida gravable</v>
          </cell>
        </row>
        <row r="44">
          <cell r="AQ44" t="str">
            <v>70-Descuentos tributarios</v>
          </cell>
        </row>
        <row r="45">
          <cell r="AQ45" t="str">
            <v>71-Impuesto neto de renta (69 - 70)</v>
          </cell>
        </row>
        <row r="46">
          <cell r="AQ46" t="str">
            <v>72-Impuesto de ganancias ocasionales</v>
          </cell>
        </row>
        <row r="47">
          <cell r="AQ47" t="str">
            <v>73-Descuentos por impuestos pagados en el exterior por ganancias ocasionales</v>
          </cell>
        </row>
        <row r="48">
          <cell r="AQ48" t="str">
            <v>74-Total impuesto a cargo (71 + 72 - 73)</v>
          </cell>
        </row>
        <row r="49">
          <cell r="AQ49" t="str">
            <v>75-Anticipo renta por el año gravable 2015 (Casilla 80 declaración 2014)</v>
          </cell>
        </row>
        <row r="50">
          <cell r="AQ50" t="str">
            <v>76-Saldo a favor año 2014 sin solicitud de devolución o
compensación (Casilla 84 declaración 2014)</v>
          </cell>
        </row>
        <row r="51">
          <cell r="AQ51" t="str">
            <v>77-Autorretenciones</v>
          </cell>
        </row>
        <row r="52">
          <cell r="AQ52" t="str">
            <v>78-Otras retenciones</v>
          </cell>
        </row>
        <row r="53">
          <cell r="AQ53" t="str">
            <v>79-Total retenciones año gravable 2015 (77 + 78)</v>
          </cell>
        </row>
        <row r="54">
          <cell r="AQ54" t="str">
            <v>80-Anticipo renta por el año gravable 2016</v>
          </cell>
        </row>
        <row r="55">
          <cell r="AQ55" t="str">
            <v>81-Saldo a pagar por impuesto (74 + 80 - 75 - 76 - 79, si el resultado es negativo escriba 0)</v>
          </cell>
        </row>
        <row r="56">
          <cell r="AQ56" t="str">
            <v>82-Sanciones</v>
          </cell>
        </row>
        <row r="57">
          <cell r="AQ57" t="str">
            <v>83-Total saldo a pagar (74 + 80 + 82 - 75 -76 - 79 si el resultado es negativo escriba 0)</v>
          </cell>
        </row>
        <row r="58">
          <cell r="AQ58" t="str">
            <v>84-o Total saldo a favor (75 + 76 + 79 - 74 - 80 - 82 si el resultado es negativo escriba 0)</v>
          </cell>
        </row>
      </sheetData>
      <sheetData sheetId="1">
        <row r="6">
          <cell r="E6">
            <v>860005224</v>
          </cell>
        </row>
      </sheetData>
      <sheetData sheetId="2">
        <row r="460">
          <cell r="C460">
            <v>2564654443930</v>
          </cell>
        </row>
      </sheetData>
      <sheetData sheetId="3">
        <row r="34">
          <cell r="C34">
            <v>-0.4814453125</v>
          </cell>
        </row>
      </sheetData>
      <sheetData sheetId="4">
        <row r="22">
          <cell r="C22">
            <v>1983503750948</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mailto:leovarong@yahoo.com"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eovarong@yahoo.com" TargetMode="External"/></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dian.gov.co/normatividad/Normatividad/Circular%20000003%20de%2021-04-2023.pdf" TargetMode="External"/></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75"/>
  <sheetViews>
    <sheetView showGridLines="0" zoomScale="170" zoomScaleNormal="170" workbookViewId="0">
      <pane xSplit="2" ySplit="4" topLeftCell="C14" activePane="bottomRight" state="frozen"/>
      <selection pane="topRight" activeCell="B1" sqref="B1"/>
      <selection pane="bottomLeft" activeCell="A4" sqref="A4"/>
      <selection pane="bottomRight" activeCell="B16" sqref="B16"/>
    </sheetView>
  </sheetViews>
  <sheetFormatPr baseColWidth="10" defaultRowHeight="12.75" x14ac:dyDescent="0.2"/>
  <cols>
    <col min="1" max="1" width="11.42578125" style="190"/>
    <col min="2" max="2" width="35.28515625" style="190" customWidth="1"/>
    <col min="3" max="3" width="21.42578125" style="101" customWidth="1"/>
    <col min="4" max="4" width="21.42578125" style="190" customWidth="1"/>
    <col min="5" max="5" width="15.140625" style="190" customWidth="1"/>
    <col min="6" max="16384" width="11.42578125" style="190"/>
  </cols>
  <sheetData>
    <row r="1" spans="1:7" s="189" customFormat="1" x14ac:dyDescent="0.2">
      <c r="B1" s="236" t="s">
        <v>90</v>
      </c>
      <c r="C1" s="237"/>
    </row>
    <row r="2" spans="1:7" s="24" customFormat="1" x14ac:dyDescent="0.2">
      <c r="B2" s="15" t="s">
        <v>1003</v>
      </c>
      <c r="C2" s="98"/>
    </row>
    <row r="3" spans="1:7" s="24" customFormat="1" x14ac:dyDescent="0.2">
      <c r="B3" s="15" t="s">
        <v>58</v>
      </c>
      <c r="C3" s="98"/>
    </row>
    <row r="4" spans="1:7" x14ac:dyDescent="0.2">
      <c r="A4" s="25" t="s">
        <v>1013</v>
      </c>
      <c r="B4" s="25" t="s">
        <v>2138</v>
      </c>
      <c r="C4" s="99" t="s">
        <v>177</v>
      </c>
    </row>
    <row r="5" spans="1:7" x14ac:dyDescent="0.2">
      <c r="C5" s="238"/>
      <c r="E5" s="15"/>
    </row>
    <row r="6" spans="1:7" x14ac:dyDescent="0.2">
      <c r="A6" s="154">
        <v>111005</v>
      </c>
      <c r="B6" s="154" t="s">
        <v>89</v>
      </c>
      <c r="C6" s="239">
        <v>1242835000</v>
      </c>
    </row>
    <row r="7" spans="1:7" x14ac:dyDescent="0.2">
      <c r="A7" s="154">
        <v>111010</v>
      </c>
      <c r="B7" s="154" t="s">
        <v>239</v>
      </c>
      <c r="C7" s="239">
        <v>36520000</v>
      </c>
    </row>
    <row r="8" spans="1:7" x14ac:dyDescent="0.2">
      <c r="A8" s="154">
        <v>124505</v>
      </c>
      <c r="B8" s="154" t="s">
        <v>130</v>
      </c>
      <c r="C8" s="239">
        <v>123567000</v>
      </c>
    </row>
    <row r="9" spans="1:7" x14ac:dyDescent="0.2">
      <c r="A9" s="154">
        <v>111006</v>
      </c>
      <c r="B9" s="154" t="s">
        <v>88</v>
      </c>
      <c r="C9" s="239">
        <v>112563000</v>
      </c>
    </row>
    <row r="10" spans="1:7" x14ac:dyDescent="0.2">
      <c r="A10" s="154">
        <f>+Acciones!A9</f>
        <v>120550</v>
      </c>
      <c r="B10" s="154" t="s">
        <v>155</v>
      </c>
      <c r="C10" s="239">
        <f>+Acciones!E17</f>
        <v>325052000</v>
      </c>
    </row>
    <row r="11" spans="1:7" x14ac:dyDescent="0.2">
      <c r="A11" s="154">
        <v>120551</v>
      </c>
      <c r="B11" s="154" t="s">
        <v>1050</v>
      </c>
      <c r="C11" s="239">
        <f>+Acciones!E18</f>
        <v>124015920</v>
      </c>
    </row>
    <row r="12" spans="1:7" x14ac:dyDescent="0.2">
      <c r="A12" s="154">
        <f>+Acciones!A10</f>
        <v>120530</v>
      </c>
      <c r="B12" s="154" t="s">
        <v>194</v>
      </c>
      <c r="C12" s="239">
        <f>+Acciones!E19</f>
        <v>1806700000</v>
      </c>
    </row>
    <row r="13" spans="1:7" x14ac:dyDescent="0.2">
      <c r="A13" s="154">
        <v>122505</v>
      </c>
      <c r="B13" s="154" t="s">
        <v>253</v>
      </c>
      <c r="C13" s="239">
        <v>1200000000</v>
      </c>
      <c r="G13" s="240"/>
    </row>
    <row r="14" spans="1:7" x14ac:dyDescent="0.2">
      <c r="A14" s="154">
        <v>129505</v>
      </c>
      <c r="B14" s="154" t="s">
        <v>170</v>
      </c>
      <c r="C14" s="239">
        <f>+Derivados!D8+Derivados!D9</f>
        <v>78891000</v>
      </c>
      <c r="G14" s="240"/>
    </row>
    <row r="15" spans="1:7" x14ac:dyDescent="0.2">
      <c r="A15" s="154">
        <v>130505</v>
      </c>
      <c r="B15" s="154" t="s">
        <v>128</v>
      </c>
      <c r="C15" s="239">
        <v>1148431282</v>
      </c>
    </row>
    <row r="16" spans="1:7" x14ac:dyDescent="0.2">
      <c r="A16" s="154">
        <v>132005</v>
      </c>
      <c r="B16" s="154" t="s">
        <v>254</v>
      </c>
      <c r="C16" s="239">
        <v>45000000</v>
      </c>
    </row>
    <row r="17" spans="1:3" x14ac:dyDescent="0.2">
      <c r="A17" s="154">
        <v>133015</v>
      </c>
      <c r="B17" s="154" t="s">
        <v>40</v>
      </c>
      <c r="C17" s="239">
        <v>12500000</v>
      </c>
    </row>
    <row r="18" spans="1:3" x14ac:dyDescent="0.2">
      <c r="A18" s="154">
        <v>135520</v>
      </c>
      <c r="B18" s="154" t="s">
        <v>41</v>
      </c>
      <c r="C18" s="239">
        <v>23526000</v>
      </c>
    </row>
    <row r="19" spans="1:3" x14ac:dyDescent="0.2">
      <c r="A19" s="154">
        <v>136510</v>
      </c>
      <c r="B19" s="154" t="s">
        <v>256</v>
      </c>
      <c r="C19" s="239">
        <v>72000000</v>
      </c>
    </row>
    <row r="20" spans="1:3" x14ac:dyDescent="0.2">
      <c r="A20" s="154">
        <v>139905</v>
      </c>
      <c r="B20" s="154" t="s">
        <v>1074</v>
      </c>
      <c r="C20" s="239">
        <f>-Clientes!F19</f>
        <v>-299010668.22000003</v>
      </c>
    </row>
    <row r="21" spans="1:3" x14ac:dyDescent="0.2">
      <c r="A21" s="154">
        <v>139906</v>
      </c>
      <c r="B21" s="154" t="s">
        <v>1052</v>
      </c>
      <c r="C21" s="239">
        <f>+Clientes!E37-C20</f>
        <v>-121687829.77999997</v>
      </c>
    </row>
    <row r="22" spans="1:3" x14ac:dyDescent="0.2">
      <c r="A22" s="154">
        <v>140501</v>
      </c>
      <c r="B22" s="154" t="s">
        <v>63</v>
      </c>
      <c r="C22" s="239">
        <f>+Inventarios!E9</f>
        <v>652890000</v>
      </c>
    </row>
    <row r="23" spans="1:3" x14ac:dyDescent="0.2">
      <c r="A23" s="154">
        <v>143005</v>
      </c>
      <c r="B23" s="154" t="s">
        <v>64</v>
      </c>
      <c r="C23" s="239">
        <f>+Inventarios!E10</f>
        <v>579550000</v>
      </c>
    </row>
    <row r="24" spans="1:3" x14ac:dyDescent="0.2">
      <c r="A24" s="154">
        <v>144505</v>
      </c>
      <c r="B24" s="154" t="s">
        <v>1082</v>
      </c>
      <c r="C24" s="239">
        <f>+Inventarios!E11</f>
        <v>900326748</v>
      </c>
    </row>
    <row r="25" spans="1:3" x14ac:dyDescent="0.2">
      <c r="A25" s="154">
        <v>144597</v>
      </c>
      <c r="B25" s="154" t="s">
        <v>1083</v>
      </c>
      <c r="C25" s="239">
        <f>+Inventarios!E12</f>
        <v>186379252</v>
      </c>
    </row>
    <row r="26" spans="1:3" x14ac:dyDescent="0.2">
      <c r="A26" s="154">
        <v>149905</v>
      </c>
      <c r="B26" s="154" t="s">
        <v>284</v>
      </c>
      <c r="C26" s="239">
        <f>+Inventarios!E13</f>
        <v>-14800000</v>
      </c>
    </row>
    <row r="27" spans="1:3" x14ac:dyDescent="0.2">
      <c r="A27" s="154">
        <f>+PPYE!A8</f>
        <v>150405</v>
      </c>
      <c r="B27" s="154" t="str">
        <f>+PPYE!B8</f>
        <v>Terreno 1- Producción</v>
      </c>
      <c r="C27" s="239">
        <f>+PPYE!C8</f>
        <v>650000000</v>
      </c>
    </row>
    <row r="28" spans="1:3" x14ac:dyDescent="0.2">
      <c r="A28" s="154">
        <f>+PPYE!A10</f>
        <v>150407</v>
      </c>
      <c r="B28" s="154" t="str">
        <f>+PPYE!B10</f>
        <v>Terreno, parqueadero</v>
      </c>
      <c r="C28" s="239">
        <f>+PPYE!C10</f>
        <v>550000000</v>
      </c>
    </row>
    <row r="29" spans="1:3" x14ac:dyDescent="0.2">
      <c r="A29" s="154">
        <v>150497</v>
      </c>
      <c r="B29" s="154" t="s">
        <v>1093</v>
      </c>
      <c r="C29" s="239">
        <f>+PPYE!F8-PPYE!C8+PPYE!F10-PPYE!C10</f>
        <v>1450000000</v>
      </c>
    </row>
    <row r="30" spans="1:3" x14ac:dyDescent="0.2">
      <c r="A30" s="154">
        <f>+PPYE!A11</f>
        <v>151605</v>
      </c>
      <c r="B30" s="154" t="str">
        <f>+PPYE!B11</f>
        <v xml:space="preserve">Edificación </v>
      </c>
      <c r="C30" s="239">
        <f>+PPYE!C11</f>
        <v>2445000000</v>
      </c>
    </row>
    <row r="31" spans="1:3" x14ac:dyDescent="0.2">
      <c r="A31" s="154">
        <f>+PPYE!A12</f>
        <v>152005</v>
      </c>
      <c r="B31" s="154" t="str">
        <f>+PPYE!B12</f>
        <v xml:space="preserve">Maquina </v>
      </c>
      <c r="C31" s="239">
        <f>+PPYE!C12</f>
        <v>825265324</v>
      </c>
    </row>
    <row r="32" spans="1:3" x14ac:dyDescent="0.2">
      <c r="A32" s="154">
        <f>+PPYE!A13</f>
        <v>152405</v>
      </c>
      <c r="B32" s="154" t="str">
        <f>+PPYE!B13</f>
        <v>Muebles y enseres</v>
      </c>
      <c r="C32" s="239">
        <f>+PPYE!C13</f>
        <v>435050949</v>
      </c>
    </row>
    <row r="33" spans="1:3" x14ac:dyDescent="0.2">
      <c r="A33" s="154">
        <f>+PPYE!A14</f>
        <v>154010</v>
      </c>
      <c r="B33" s="154" t="str">
        <f>+PPYE!B14</f>
        <v xml:space="preserve">Tractomula </v>
      </c>
      <c r="C33" s="239">
        <f>+PPYE!C14</f>
        <v>245000000</v>
      </c>
    </row>
    <row r="34" spans="1:3" x14ac:dyDescent="0.2">
      <c r="A34" s="154">
        <v>159205</v>
      </c>
      <c r="B34" s="154" t="s">
        <v>1095</v>
      </c>
      <c r="C34" s="239">
        <f>-PPYE!D11</f>
        <v>-1467000000</v>
      </c>
    </row>
    <row r="35" spans="1:3" x14ac:dyDescent="0.2">
      <c r="A35" s="154">
        <v>159297</v>
      </c>
      <c r="B35" s="154" t="s">
        <v>1096</v>
      </c>
      <c r="C35" s="239">
        <f>-(PPYE!G11-PPYE!D11)</f>
        <v>1369200000</v>
      </c>
    </row>
    <row r="36" spans="1:3" x14ac:dyDescent="0.2">
      <c r="A36" s="154">
        <v>159210</v>
      </c>
      <c r="B36" s="154" t="s">
        <v>1097</v>
      </c>
      <c r="C36" s="239">
        <f>-PPYE!D12</f>
        <v>-412632662</v>
      </c>
    </row>
    <row r="37" spans="1:3" x14ac:dyDescent="0.2">
      <c r="A37" s="154">
        <v>159215</v>
      </c>
      <c r="B37" s="154" t="s">
        <v>1098</v>
      </c>
      <c r="C37" s="239">
        <f>-PPYE!D13</f>
        <v>-261030569</v>
      </c>
    </row>
    <row r="38" spans="1:3" x14ac:dyDescent="0.2">
      <c r="A38" s="154">
        <v>159220</v>
      </c>
      <c r="B38" s="154" t="s">
        <v>1099</v>
      </c>
      <c r="C38" s="239">
        <f>-PPYE!D14</f>
        <v>-245000000</v>
      </c>
    </row>
    <row r="39" spans="1:3" x14ac:dyDescent="0.2">
      <c r="A39" s="154">
        <v>159298</v>
      </c>
      <c r="B39" s="154" t="s">
        <v>1100</v>
      </c>
      <c r="C39" s="239">
        <f>-(PPYE!G14-PPYE!D14)</f>
        <v>158333333</v>
      </c>
    </row>
    <row r="40" spans="1:3" x14ac:dyDescent="0.2">
      <c r="A40" s="154">
        <f>+'Otros activos'!A18</f>
        <v>161010</v>
      </c>
      <c r="B40" s="154" t="str">
        <f>+'Otros activos'!B18</f>
        <v>Programa de contabilidad</v>
      </c>
      <c r="C40" s="239">
        <v>65000000</v>
      </c>
    </row>
    <row r="41" spans="1:3" x14ac:dyDescent="0.2">
      <c r="A41" s="154">
        <f>+'Otros activos'!A19</f>
        <v>161098</v>
      </c>
      <c r="B41" s="154" t="str">
        <f>+'Otros activos'!B19</f>
        <v>Amortización</v>
      </c>
      <c r="C41" s="239">
        <v>-39000000</v>
      </c>
    </row>
    <row r="42" spans="1:3" x14ac:dyDescent="0.2">
      <c r="A42" s="154">
        <f>+'Otros activos'!A10</f>
        <v>170545</v>
      </c>
      <c r="B42" s="154" t="str">
        <f>+'Otros activos'!B10</f>
        <v>Suscripciones a revistas</v>
      </c>
      <c r="C42" s="239">
        <v>13526000</v>
      </c>
    </row>
    <row r="43" spans="1:3" x14ac:dyDescent="0.2">
      <c r="A43" s="154">
        <f>+'Otros activos'!A11</f>
        <v>170525</v>
      </c>
      <c r="B43" s="154" t="str">
        <f>+'Otros activos'!B11</f>
        <v>Arrendamientos</v>
      </c>
      <c r="C43" s="239">
        <v>7560000</v>
      </c>
    </row>
    <row r="44" spans="1:3" x14ac:dyDescent="0.2">
      <c r="A44" s="154">
        <f>+'Otros activos'!A12</f>
        <v>170520</v>
      </c>
      <c r="B44" s="154" t="str">
        <f>+'Otros activos'!B12</f>
        <v>Polizas de seguros</v>
      </c>
      <c r="C44" s="239">
        <v>5500000</v>
      </c>
    </row>
    <row r="45" spans="1:3" x14ac:dyDescent="0.2">
      <c r="A45" s="154">
        <v>192010</v>
      </c>
      <c r="B45" s="154" t="s">
        <v>59</v>
      </c>
      <c r="C45" s="239">
        <f>+PPYE!C9</f>
        <v>350000000</v>
      </c>
    </row>
    <row r="46" spans="1:3" x14ac:dyDescent="0.2">
      <c r="A46" s="154">
        <v>192097</v>
      </c>
      <c r="B46" s="154" t="s">
        <v>1094</v>
      </c>
      <c r="C46" s="239">
        <f>+PPYE!F9-PPYE!C9</f>
        <v>850000000</v>
      </c>
    </row>
    <row r="47" spans="1:3" x14ac:dyDescent="0.2">
      <c r="A47" s="154">
        <v>172065</v>
      </c>
      <c r="B47" s="154" t="s">
        <v>61</v>
      </c>
      <c r="C47" s="239">
        <v>0</v>
      </c>
    </row>
    <row r="48" spans="1:3" x14ac:dyDescent="0.2">
      <c r="B48" s="26" t="s">
        <v>54</v>
      </c>
      <c r="C48" s="100">
        <f>SUM(C6:C47)</f>
        <v>15230021079</v>
      </c>
    </row>
    <row r="50" spans="1:6" x14ac:dyDescent="0.2">
      <c r="B50" s="25" t="s">
        <v>17</v>
      </c>
      <c r="C50" s="99"/>
    </row>
    <row r="51" spans="1:6" x14ac:dyDescent="0.2">
      <c r="A51" s="154">
        <f>+Pasivos!A11</f>
        <v>210510</v>
      </c>
      <c r="B51" s="154" t="str">
        <f>+Pasivos!B11</f>
        <v>Obligaciones financieras</v>
      </c>
      <c r="C51" s="239">
        <f>+Pasivos!E11</f>
        <v>2516527734.1461334</v>
      </c>
      <c r="D51" s="242"/>
    </row>
    <row r="52" spans="1:6" x14ac:dyDescent="0.2">
      <c r="A52" s="154">
        <v>220505</v>
      </c>
      <c r="B52" s="154" t="s">
        <v>49</v>
      </c>
      <c r="C52" s="239">
        <v>652000000</v>
      </c>
    </row>
    <row r="53" spans="1:6" x14ac:dyDescent="0.2">
      <c r="A53" s="154">
        <v>236595</v>
      </c>
      <c r="B53" s="154" t="s">
        <v>22</v>
      </c>
      <c r="C53" s="239">
        <v>26500000</v>
      </c>
    </row>
    <row r="54" spans="1:6" x14ac:dyDescent="0.2">
      <c r="A54" s="154">
        <v>237010</v>
      </c>
      <c r="B54" s="154" t="s">
        <v>75</v>
      </c>
      <c r="C54" s="239">
        <v>36250000</v>
      </c>
    </row>
    <row r="55" spans="1:6" x14ac:dyDescent="0.2">
      <c r="A55" s="154">
        <v>237005</v>
      </c>
      <c r="B55" s="154" t="s">
        <v>131</v>
      </c>
      <c r="C55" s="239">
        <v>63250000</v>
      </c>
    </row>
    <row r="56" spans="1:6" x14ac:dyDescent="0.2">
      <c r="A56" s="154">
        <v>237045</v>
      </c>
      <c r="B56" s="154" t="s">
        <v>80</v>
      </c>
      <c r="C56" s="239">
        <v>176523000</v>
      </c>
    </row>
    <row r="57" spans="1:6" x14ac:dyDescent="0.2">
      <c r="A57" s="154">
        <v>240404</v>
      </c>
      <c r="B57" s="154" t="s">
        <v>74</v>
      </c>
      <c r="C57" s="239">
        <v>125600000</v>
      </c>
    </row>
    <row r="58" spans="1:6" x14ac:dyDescent="0.2">
      <c r="A58" s="154">
        <v>241205</v>
      </c>
      <c r="B58" s="154" t="s">
        <v>24</v>
      </c>
      <c r="C58" s="239">
        <v>140000000</v>
      </c>
    </row>
    <row r="59" spans="1:6" x14ac:dyDescent="0.2">
      <c r="A59" s="154">
        <v>250505</v>
      </c>
      <c r="B59" s="154" t="s">
        <v>1105</v>
      </c>
      <c r="C59" s="239">
        <f>+Laboral!B21+Laboral!C21+Laboral!D21</f>
        <v>69622638</v>
      </c>
      <c r="D59" s="197"/>
    </row>
    <row r="60" spans="1:6" x14ac:dyDescent="0.2">
      <c r="A60" s="154">
        <f>+Pasivos!A26</f>
        <v>263505</v>
      </c>
      <c r="B60" s="154" t="str">
        <f>+Pasivos!B26</f>
        <v xml:space="preserve">Litigios y demandas </v>
      </c>
      <c r="C60" s="239">
        <v>135078737</v>
      </c>
    </row>
    <row r="61" spans="1:6" x14ac:dyDescent="0.2">
      <c r="A61" s="154">
        <f>+Pasivos!A27</f>
        <v>264005</v>
      </c>
      <c r="B61" s="154" t="str">
        <f>+Pasivos!B27</f>
        <v>Garantías</v>
      </c>
      <c r="C61" s="239">
        <v>126000000</v>
      </c>
    </row>
    <row r="62" spans="1:6" x14ac:dyDescent="0.2">
      <c r="A62" s="154">
        <v>210595</v>
      </c>
      <c r="B62" s="154" t="s">
        <v>170</v>
      </c>
      <c r="C62" s="239">
        <f>-Derivados!D10-Derivados!D11</f>
        <v>10052000</v>
      </c>
    </row>
    <row r="63" spans="1:6" x14ac:dyDescent="0.2">
      <c r="A63" s="154">
        <v>271095</v>
      </c>
      <c r="B63" s="154" t="s">
        <v>62</v>
      </c>
      <c r="C63" s="239">
        <f>-'Imp diferidos'!F73</f>
        <v>558693552.59722829</v>
      </c>
      <c r="E63" s="243">
        <f>+'Imp diferidos'!F73+C63</f>
        <v>0</v>
      </c>
      <c r="F63" s="197"/>
    </row>
    <row r="64" spans="1:6" x14ac:dyDescent="0.2">
      <c r="B64" s="25" t="s">
        <v>55</v>
      </c>
      <c r="C64" s="100">
        <f>SUM(C51:C63)</f>
        <v>4636097661.7433615</v>
      </c>
    </row>
    <row r="65" spans="1:4" x14ac:dyDescent="0.2">
      <c r="C65" s="102"/>
    </row>
    <row r="66" spans="1:4" x14ac:dyDescent="0.2">
      <c r="B66" s="25" t="s">
        <v>19</v>
      </c>
      <c r="C66" s="100">
        <f>SUM(C67:C72)</f>
        <v>10593923417.26</v>
      </c>
      <c r="D66" s="27"/>
    </row>
    <row r="67" spans="1:4" x14ac:dyDescent="0.2">
      <c r="A67" s="154">
        <v>310505</v>
      </c>
      <c r="B67" s="154" t="s">
        <v>39</v>
      </c>
      <c r="C67" s="239">
        <v>8500000000</v>
      </c>
    </row>
    <row r="68" spans="1:4" x14ac:dyDescent="0.2">
      <c r="A68" s="154">
        <v>330505</v>
      </c>
      <c r="B68" s="154" t="s">
        <v>12</v>
      </c>
      <c r="C68" s="239">
        <v>650256000</v>
      </c>
    </row>
    <row r="69" spans="1:4" x14ac:dyDescent="0.2">
      <c r="A69" s="154">
        <v>360505</v>
      </c>
      <c r="B69" s="154" t="s">
        <v>14</v>
      </c>
      <c r="C69" s="239">
        <v>1207095389</v>
      </c>
    </row>
    <row r="70" spans="1:4" x14ac:dyDescent="0.2">
      <c r="A70" s="154">
        <v>370505</v>
      </c>
      <c r="B70" s="154" t="s">
        <v>15</v>
      </c>
      <c r="C70" s="244">
        <v>84572028.260000005</v>
      </c>
      <c r="D70" s="245"/>
    </row>
    <row r="71" spans="1:4" x14ac:dyDescent="0.2">
      <c r="A71" s="154">
        <v>370506</v>
      </c>
      <c r="B71" s="154" t="s">
        <v>53</v>
      </c>
      <c r="C71" s="239">
        <v>152000000</v>
      </c>
      <c r="D71" s="245"/>
    </row>
    <row r="73" spans="1:4" x14ac:dyDescent="0.2">
      <c r="B73" s="25" t="s">
        <v>56</v>
      </c>
      <c r="C73" s="100">
        <f>+C64+C66</f>
        <v>15230021079.003361</v>
      </c>
    </row>
    <row r="75" spans="1:4" x14ac:dyDescent="0.2">
      <c r="C75" s="246">
        <f>+C73-C48</f>
        <v>3.360748291015625E-3</v>
      </c>
    </row>
  </sheetData>
  <phoneticPr fontId="3" type="noConversion"/>
  <pageMargins left="0.39370078740157483" right="0.39370078740157483" top="0.39370078740157483" bottom="0.39370078740157483" header="0" footer="0"/>
  <pageSetup scale="58" orientation="landscape" horizontalDpi="120" verticalDpi="14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44"/>
  <sheetViews>
    <sheetView showGridLines="0" zoomScale="130" zoomScaleNormal="130" workbookViewId="0">
      <pane ySplit="1" topLeftCell="A14" activePane="bottomLeft" state="frozen"/>
      <selection activeCell="D6" sqref="D6"/>
      <selection pane="bottomLeft" activeCell="B6" sqref="B6"/>
    </sheetView>
  </sheetViews>
  <sheetFormatPr baseColWidth="10" defaultRowHeight="12.75" x14ac:dyDescent="0.2"/>
  <cols>
    <col min="1" max="1" width="8.7109375" style="227" customWidth="1"/>
    <col min="2" max="2" width="41.7109375" style="229" customWidth="1"/>
    <col min="3" max="4" width="18.42578125" style="230" customWidth="1"/>
    <col min="5" max="5" width="11.42578125" style="229" customWidth="1"/>
    <col min="6" max="6" width="17.5703125" style="229" bestFit="1" customWidth="1"/>
    <col min="7" max="8" width="11.42578125" style="229"/>
    <col min="9" max="9" width="16.42578125" style="229" customWidth="1"/>
    <col min="10" max="10" width="15.42578125" style="229" customWidth="1"/>
    <col min="11" max="16384" width="11.42578125" style="229"/>
  </cols>
  <sheetData>
    <row r="1" spans="1:5" s="189" customFormat="1" x14ac:dyDescent="0.2">
      <c r="A1" s="225"/>
      <c r="B1" s="187"/>
      <c r="C1" s="226"/>
      <c r="D1" s="226"/>
      <c r="E1" s="187"/>
    </row>
    <row r="4" spans="1:5" x14ac:dyDescent="0.2">
      <c r="B4" s="12" t="s">
        <v>1008</v>
      </c>
      <c r="C4" s="228"/>
      <c r="D4" s="228"/>
    </row>
    <row r="5" spans="1:5" x14ac:dyDescent="0.2">
      <c r="B5" s="6"/>
    </row>
    <row r="6" spans="1:5" x14ac:dyDescent="0.2">
      <c r="A6" s="231"/>
      <c r="B6" s="23" t="s">
        <v>295</v>
      </c>
      <c r="C6" s="232"/>
      <c r="D6" s="232"/>
    </row>
    <row r="7" spans="1:5" x14ac:dyDescent="0.2">
      <c r="A7" s="155"/>
      <c r="B7" s="156"/>
      <c r="C7" s="106" t="s">
        <v>168</v>
      </c>
      <c r="D7" s="106" t="s">
        <v>169</v>
      </c>
    </row>
    <row r="8" spans="1:5" x14ac:dyDescent="0.2">
      <c r="A8" s="248">
        <v>412005</v>
      </c>
      <c r="B8" s="156" t="s">
        <v>274</v>
      </c>
      <c r="C8" s="233"/>
      <c r="D8" s="233">
        <v>26536000000</v>
      </c>
    </row>
    <row r="9" spans="1:5" x14ac:dyDescent="0.2">
      <c r="A9" s="248">
        <v>410505</v>
      </c>
      <c r="B9" s="156" t="s">
        <v>275</v>
      </c>
      <c r="C9" s="233"/>
      <c r="D9" s="233">
        <v>426000000</v>
      </c>
    </row>
    <row r="10" spans="1:5" x14ac:dyDescent="0.2">
      <c r="A10" s="248">
        <v>413505</v>
      </c>
      <c r="B10" s="156" t="s">
        <v>210</v>
      </c>
      <c r="C10" s="233"/>
      <c r="D10" s="233">
        <v>415000000</v>
      </c>
    </row>
    <row r="11" spans="1:5" x14ac:dyDescent="0.2">
      <c r="A11" s="248">
        <v>417505</v>
      </c>
      <c r="B11" s="156" t="s">
        <v>300</v>
      </c>
      <c r="C11" s="233">
        <v>125000000</v>
      </c>
      <c r="D11" s="233"/>
    </row>
    <row r="12" spans="1:5" x14ac:dyDescent="0.2">
      <c r="A12" s="248">
        <v>240801</v>
      </c>
      <c r="B12" s="156" t="s">
        <v>332</v>
      </c>
      <c r="C12" s="233"/>
      <c r="D12" s="233">
        <f>+D8*0.16</f>
        <v>4245760000</v>
      </c>
    </row>
    <row r="13" spans="1:5" x14ac:dyDescent="0.2">
      <c r="A13" s="248">
        <v>130505</v>
      </c>
      <c r="B13" s="156" t="s">
        <v>1106</v>
      </c>
      <c r="C13" s="233">
        <f>+Clientes!D79</f>
        <v>645325000</v>
      </c>
      <c r="D13" s="233"/>
    </row>
    <row r="14" spans="1:5" x14ac:dyDescent="0.2">
      <c r="A14" s="248">
        <v>130505</v>
      </c>
      <c r="B14" s="156" t="s">
        <v>1106</v>
      </c>
      <c r="C14" s="233">
        <f>+Clientes!D80</f>
        <v>612526000</v>
      </c>
      <c r="D14" s="233"/>
    </row>
    <row r="15" spans="1:5" x14ac:dyDescent="0.2">
      <c r="A15" s="248">
        <v>135515</v>
      </c>
      <c r="B15" s="156" t="s">
        <v>216</v>
      </c>
      <c r="C15" s="233">
        <f>+D8*2.5/100+D9*1.5/100+D10*0.02</f>
        <v>678090000</v>
      </c>
      <c r="D15" s="233"/>
    </row>
    <row r="16" spans="1:5" x14ac:dyDescent="0.2">
      <c r="A16" s="248">
        <v>111005</v>
      </c>
      <c r="B16" s="156" t="s">
        <v>88</v>
      </c>
      <c r="C16" s="233">
        <f>+D8+D9+D10-C11-C13-C14-C15+D12</f>
        <v>29561819000</v>
      </c>
      <c r="D16" s="233"/>
    </row>
    <row r="17" spans="1:4" x14ac:dyDescent="0.2">
      <c r="B17" s="6"/>
      <c r="C17" s="107">
        <f>SUM(C8:C16)</f>
        <v>31622760000</v>
      </c>
      <c r="D17" s="107">
        <f>SUM(D8:D16)</f>
        <v>31622760000</v>
      </c>
    </row>
    <row r="18" spans="1:4" x14ac:dyDescent="0.2">
      <c r="B18" s="6"/>
    </row>
    <row r="19" spans="1:4" x14ac:dyDescent="0.2">
      <c r="B19" s="6"/>
      <c r="C19" s="107"/>
      <c r="D19" s="107"/>
    </row>
    <row r="20" spans="1:4" x14ac:dyDescent="0.2">
      <c r="B20" s="6"/>
      <c r="C20" s="107"/>
      <c r="D20" s="107"/>
    </row>
    <row r="21" spans="1:4" x14ac:dyDescent="0.2">
      <c r="A21" s="231"/>
      <c r="B21" s="23" t="s">
        <v>302</v>
      </c>
      <c r="C21" s="232"/>
      <c r="D21" s="232"/>
    </row>
    <row r="22" spans="1:4" x14ac:dyDescent="0.2">
      <c r="A22" s="155"/>
      <c r="B22" s="156"/>
      <c r="C22" s="106" t="s">
        <v>168</v>
      </c>
      <c r="D22" s="106" t="s">
        <v>169</v>
      </c>
    </row>
    <row r="23" spans="1:4" x14ac:dyDescent="0.2">
      <c r="A23" s="248">
        <v>130505</v>
      </c>
      <c r="B23" s="156" t="s">
        <v>1075</v>
      </c>
      <c r="C23" s="233"/>
      <c r="D23" s="233">
        <f>+Clientes!D38</f>
        <v>315262000</v>
      </c>
    </row>
    <row r="24" spans="1:4" x14ac:dyDescent="0.2">
      <c r="A24" s="248">
        <v>130505</v>
      </c>
      <c r="B24" s="156" t="s">
        <v>1076</v>
      </c>
      <c r="C24" s="233"/>
      <c r="D24" s="233">
        <f>+Clientes!D39</f>
        <v>312500000</v>
      </c>
    </row>
    <row r="25" spans="1:4" x14ac:dyDescent="0.2">
      <c r="A25" s="248">
        <v>130505</v>
      </c>
      <c r="B25" s="156" t="s">
        <v>1077</v>
      </c>
      <c r="C25" s="233"/>
      <c r="D25" s="233">
        <f>+Clientes!I33</f>
        <v>27049126</v>
      </c>
    </row>
    <row r="26" spans="1:4" x14ac:dyDescent="0.2">
      <c r="A26" s="248">
        <v>111005</v>
      </c>
      <c r="B26" s="156" t="s">
        <v>89</v>
      </c>
      <c r="C26" s="233">
        <f>+D23+D24+D25</f>
        <v>654811126</v>
      </c>
      <c r="D26" s="233"/>
    </row>
    <row r="27" spans="1:4" x14ac:dyDescent="0.2">
      <c r="B27" s="6"/>
      <c r="C27" s="107">
        <f>SUM(C23:C26)</f>
        <v>654811126</v>
      </c>
      <c r="D27" s="107">
        <f>SUM(D23:D26)</f>
        <v>654811126</v>
      </c>
    </row>
    <row r="28" spans="1:4" x14ac:dyDescent="0.2">
      <c r="B28" s="6"/>
    </row>
    <row r="29" spans="1:4" x14ac:dyDescent="0.2">
      <c r="B29" s="6"/>
    </row>
    <row r="30" spans="1:4" x14ac:dyDescent="0.2">
      <c r="B30" s="6"/>
    </row>
    <row r="31" spans="1:4" x14ac:dyDescent="0.2">
      <c r="A31" s="231"/>
      <c r="B31" s="23" t="s">
        <v>986</v>
      </c>
      <c r="C31" s="232"/>
      <c r="D31" s="232"/>
    </row>
    <row r="32" spans="1:4" x14ac:dyDescent="0.2">
      <c r="A32" s="155"/>
      <c r="B32" s="156"/>
      <c r="C32" s="106" t="s">
        <v>168</v>
      </c>
      <c r="D32" s="106" t="s">
        <v>169</v>
      </c>
    </row>
    <row r="33" spans="1:4" x14ac:dyDescent="0.2">
      <c r="A33" s="248">
        <v>111010</v>
      </c>
      <c r="B33" s="156" t="s">
        <v>239</v>
      </c>
      <c r="C33" s="233">
        <v>12653000</v>
      </c>
      <c r="D33" s="233"/>
    </row>
    <row r="34" spans="1:4" x14ac:dyDescent="0.2">
      <c r="A34" s="248">
        <v>421020</v>
      </c>
      <c r="B34" s="156" t="s">
        <v>154</v>
      </c>
      <c r="C34" s="233"/>
      <c r="D34" s="233">
        <f>+C33</f>
        <v>12653000</v>
      </c>
    </row>
    <row r="35" spans="1:4" x14ac:dyDescent="0.2">
      <c r="A35" s="248">
        <v>124505</v>
      </c>
      <c r="B35" s="156" t="s">
        <v>130</v>
      </c>
      <c r="C35" s="233">
        <v>3625000</v>
      </c>
      <c r="D35" s="233"/>
    </row>
    <row r="36" spans="1:4" x14ac:dyDescent="0.2">
      <c r="A36" s="248">
        <v>421005</v>
      </c>
      <c r="B36" s="156" t="s">
        <v>303</v>
      </c>
      <c r="C36" s="233"/>
      <c r="D36" s="233">
        <f>+C35</f>
        <v>3625000</v>
      </c>
    </row>
    <row r="37" spans="1:4" x14ac:dyDescent="0.2">
      <c r="B37" s="6"/>
      <c r="C37" s="107">
        <f>SUM(C33:C36)</f>
        <v>16278000</v>
      </c>
      <c r="D37" s="107">
        <f>SUM(D33:D36)</f>
        <v>16278000</v>
      </c>
    </row>
    <row r="38" spans="1:4" x14ac:dyDescent="0.2">
      <c r="B38" s="6"/>
    </row>
    <row r="39" spans="1:4" x14ac:dyDescent="0.2">
      <c r="B39" s="6"/>
    </row>
    <row r="40" spans="1:4" x14ac:dyDescent="0.2">
      <c r="B40" s="6"/>
    </row>
    <row r="41" spans="1:4" x14ac:dyDescent="0.2">
      <c r="A41" s="231"/>
      <c r="B41" s="23" t="s">
        <v>399</v>
      </c>
      <c r="C41" s="232"/>
      <c r="D41" s="232"/>
    </row>
    <row r="42" spans="1:4" x14ac:dyDescent="0.2">
      <c r="A42" s="155"/>
      <c r="B42" s="156"/>
      <c r="C42" s="106" t="s">
        <v>168</v>
      </c>
      <c r="D42" s="106" t="s">
        <v>169</v>
      </c>
    </row>
    <row r="43" spans="1:4" x14ac:dyDescent="0.2">
      <c r="A43" s="248">
        <v>120520</v>
      </c>
      <c r="B43" s="156" t="s">
        <v>287</v>
      </c>
      <c r="C43" s="233">
        <f>+Acciones!E46</f>
        <v>650000000</v>
      </c>
      <c r="D43" s="233"/>
    </row>
    <row r="44" spans="1:4" x14ac:dyDescent="0.2">
      <c r="A44" s="248">
        <v>111005</v>
      </c>
      <c r="B44" s="156" t="s">
        <v>89</v>
      </c>
      <c r="C44" s="233"/>
      <c r="D44" s="233">
        <f>+C43</f>
        <v>650000000</v>
      </c>
    </row>
    <row r="45" spans="1:4" x14ac:dyDescent="0.2">
      <c r="B45" s="6"/>
    </row>
    <row r="46" spans="1:4" x14ac:dyDescent="0.2">
      <c r="B46" s="6"/>
    </row>
    <row r="47" spans="1:4" x14ac:dyDescent="0.2">
      <c r="B47" s="6"/>
    </row>
    <row r="48" spans="1:4" x14ac:dyDescent="0.2">
      <c r="A48" s="231"/>
      <c r="B48" s="23" t="s">
        <v>304</v>
      </c>
      <c r="C48" s="232"/>
      <c r="D48" s="232"/>
    </row>
    <row r="49" spans="1:4" x14ac:dyDescent="0.2">
      <c r="A49" s="155"/>
      <c r="B49" s="156"/>
      <c r="C49" s="106" t="s">
        <v>168</v>
      </c>
      <c r="D49" s="106" t="s">
        <v>169</v>
      </c>
    </row>
    <row r="50" spans="1:4" x14ac:dyDescent="0.2">
      <c r="A50" s="248">
        <v>421505</v>
      </c>
      <c r="B50" s="156" t="s">
        <v>305</v>
      </c>
      <c r="C50" s="233"/>
      <c r="D50" s="233">
        <f>+Acciones!E48</f>
        <v>15000000</v>
      </c>
    </row>
    <row r="51" spans="1:4" x14ac:dyDescent="0.2">
      <c r="A51" s="248">
        <v>421505</v>
      </c>
      <c r="B51" s="156" t="s">
        <v>306</v>
      </c>
      <c r="C51" s="233"/>
      <c r="D51" s="233">
        <f>+Acciones!E50</f>
        <v>0</v>
      </c>
    </row>
    <row r="52" spans="1:4" x14ac:dyDescent="0.2">
      <c r="A52" s="248">
        <v>111005</v>
      </c>
      <c r="B52" s="156" t="s">
        <v>89</v>
      </c>
      <c r="C52" s="233">
        <f>+D50+D51</f>
        <v>15000000</v>
      </c>
      <c r="D52" s="233"/>
    </row>
    <row r="53" spans="1:4" x14ac:dyDescent="0.2">
      <c r="B53" s="6"/>
    </row>
    <row r="54" spans="1:4" x14ac:dyDescent="0.2">
      <c r="B54" s="6"/>
    </row>
    <row r="55" spans="1:4" x14ac:dyDescent="0.2">
      <c r="A55" s="231"/>
      <c r="B55" s="23" t="s">
        <v>307</v>
      </c>
      <c r="C55" s="232"/>
      <c r="D55" s="232"/>
    </row>
    <row r="56" spans="1:4" x14ac:dyDescent="0.2">
      <c r="A56" s="155"/>
      <c r="B56" s="156"/>
      <c r="C56" s="106" t="s">
        <v>168</v>
      </c>
      <c r="D56" s="106" t="s">
        <v>169</v>
      </c>
    </row>
    <row r="57" spans="1:4" x14ac:dyDescent="0.2">
      <c r="A57" s="248">
        <v>111005</v>
      </c>
      <c r="B57" s="156" t="s">
        <v>89</v>
      </c>
      <c r="C57" s="233">
        <f>+CDT!D27</f>
        <v>54840000</v>
      </c>
      <c r="D57" s="233"/>
    </row>
    <row r="58" spans="1:4" x14ac:dyDescent="0.2">
      <c r="A58" s="248">
        <v>421005</v>
      </c>
      <c r="B58" s="156" t="s">
        <v>308</v>
      </c>
      <c r="C58" s="233"/>
      <c r="D58" s="233">
        <f>+C57</f>
        <v>54840000</v>
      </c>
    </row>
    <row r="59" spans="1:4" x14ac:dyDescent="0.2">
      <c r="B59" s="6"/>
    </row>
    <row r="60" spans="1:4" x14ac:dyDescent="0.2">
      <c r="B60" s="6"/>
    </row>
    <row r="61" spans="1:4" x14ac:dyDescent="0.2">
      <c r="B61" s="6"/>
    </row>
    <row r="62" spans="1:4" x14ac:dyDescent="0.2">
      <c r="A62" s="231"/>
      <c r="B62" s="23" t="s">
        <v>386</v>
      </c>
      <c r="C62" s="232"/>
      <c r="D62" s="232"/>
    </row>
    <row r="63" spans="1:4" x14ac:dyDescent="0.2">
      <c r="A63" s="155"/>
      <c r="B63" s="156"/>
      <c r="C63" s="106" t="s">
        <v>168</v>
      </c>
      <c r="D63" s="106" t="s">
        <v>169</v>
      </c>
    </row>
    <row r="64" spans="1:4" x14ac:dyDescent="0.2">
      <c r="A64" s="248">
        <v>111005</v>
      </c>
      <c r="B64" s="156" t="s">
        <v>89</v>
      </c>
      <c r="C64" s="233"/>
      <c r="D64" s="233">
        <f>+C65</f>
        <v>25623500</v>
      </c>
    </row>
    <row r="65" spans="1:5" x14ac:dyDescent="0.2">
      <c r="A65" s="248">
        <v>421095</v>
      </c>
      <c r="B65" s="156" t="s">
        <v>387</v>
      </c>
      <c r="C65" s="233">
        <f>+Derivados!F30</f>
        <v>25623500</v>
      </c>
      <c r="D65" s="233"/>
    </row>
    <row r="66" spans="1:5" x14ac:dyDescent="0.2">
      <c r="B66" s="6"/>
    </row>
    <row r="67" spans="1:5" x14ac:dyDescent="0.2">
      <c r="B67" s="6"/>
    </row>
    <row r="68" spans="1:5" x14ac:dyDescent="0.2">
      <c r="B68" s="6"/>
    </row>
    <row r="69" spans="1:5" x14ac:dyDescent="0.2">
      <c r="A69" s="231"/>
      <c r="B69" s="23" t="s">
        <v>309</v>
      </c>
      <c r="C69" s="232"/>
      <c r="D69" s="232"/>
    </row>
    <row r="70" spans="1:5" x14ac:dyDescent="0.2">
      <c r="A70" s="155"/>
      <c r="B70" s="156"/>
      <c r="C70" s="106" t="s">
        <v>168</v>
      </c>
      <c r="D70" s="106" t="s">
        <v>169</v>
      </c>
    </row>
    <row r="71" spans="1:5" x14ac:dyDescent="0.2">
      <c r="A71" s="248">
        <v>133015</v>
      </c>
      <c r="B71" s="156" t="s">
        <v>40</v>
      </c>
      <c r="C71" s="233"/>
      <c r="D71" s="233">
        <f>+'BP 010120x1'!C17</f>
        <v>12500000</v>
      </c>
      <c r="E71" s="229" t="s">
        <v>310</v>
      </c>
    </row>
    <row r="72" spans="1:5" x14ac:dyDescent="0.2">
      <c r="A72" s="248">
        <v>515505</v>
      </c>
      <c r="B72" s="156" t="s">
        <v>218</v>
      </c>
      <c r="C72" s="233">
        <f>+D71</f>
        <v>12500000</v>
      </c>
      <c r="D72" s="233"/>
    </row>
    <row r="73" spans="1:5" x14ac:dyDescent="0.2">
      <c r="A73" s="248">
        <v>133015</v>
      </c>
      <c r="B73" s="156" t="s">
        <v>40</v>
      </c>
      <c r="C73" s="233">
        <v>3150000</v>
      </c>
      <c r="D73" s="233"/>
      <c r="E73" s="229" t="s">
        <v>311</v>
      </c>
    </row>
    <row r="74" spans="1:5" x14ac:dyDescent="0.2">
      <c r="A74" s="248">
        <v>111005</v>
      </c>
      <c r="B74" s="156" t="s">
        <v>88</v>
      </c>
      <c r="C74" s="233"/>
      <c r="D74" s="233">
        <f>+C73</f>
        <v>3150000</v>
      </c>
    </row>
    <row r="75" spans="1:5" x14ac:dyDescent="0.2">
      <c r="A75" s="248">
        <v>192010</v>
      </c>
      <c r="B75" s="156" t="s">
        <v>59</v>
      </c>
      <c r="C75" s="233">
        <f>+PPYE!C40</f>
        <v>350000000</v>
      </c>
      <c r="D75" s="233"/>
      <c r="E75" s="229" t="s">
        <v>312</v>
      </c>
    </row>
    <row r="76" spans="1:5" x14ac:dyDescent="0.2">
      <c r="A76" s="248">
        <v>111005</v>
      </c>
      <c r="B76" s="156" t="s">
        <v>88</v>
      </c>
      <c r="C76" s="233"/>
      <c r="D76" s="233">
        <f>+C75</f>
        <v>350000000</v>
      </c>
      <c r="E76" s="229" t="s">
        <v>312</v>
      </c>
    </row>
    <row r="77" spans="1:5" x14ac:dyDescent="0.2">
      <c r="A77" s="248">
        <v>135520</v>
      </c>
      <c r="B77" s="156" t="s">
        <v>41</v>
      </c>
      <c r="C77" s="233"/>
      <c r="D77" s="233">
        <f>+'BP 010120x1'!C18</f>
        <v>23526000</v>
      </c>
      <c r="E77" s="229" t="s">
        <v>314</v>
      </c>
    </row>
    <row r="78" spans="1:5" x14ac:dyDescent="0.2">
      <c r="A78" s="248">
        <v>240801</v>
      </c>
      <c r="B78" s="156" t="s">
        <v>313</v>
      </c>
      <c r="C78" s="233">
        <f>+D77</f>
        <v>23526000</v>
      </c>
      <c r="D78" s="233"/>
      <c r="E78" s="229" t="s">
        <v>314</v>
      </c>
    </row>
    <row r="79" spans="1:5" x14ac:dyDescent="0.2">
      <c r="A79" s="248">
        <v>136510</v>
      </c>
      <c r="B79" s="156" t="s">
        <v>256</v>
      </c>
      <c r="C79" s="233"/>
      <c r="D79" s="233">
        <v>4500000</v>
      </c>
      <c r="E79" s="229" t="s">
        <v>315</v>
      </c>
    </row>
    <row r="80" spans="1:5" x14ac:dyDescent="0.2">
      <c r="A80" s="248">
        <v>111005</v>
      </c>
      <c r="B80" s="156" t="s">
        <v>88</v>
      </c>
      <c r="C80" s="233">
        <f>+D79</f>
        <v>4500000</v>
      </c>
      <c r="D80" s="233"/>
      <c r="E80" s="229" t="s">
        <v>315</v>
      </c>
    </row>
    <row r="81" spans="1:5" x14ac:dyDescent="0.2">
      <c r="B81" s="6"/>
      <c r="C81" s="107">
        <f>SUM(C71:C80)</f>
        <v>393676000</v>
      </c>
      <c r="D81" s="107">
        <f>SUM(D71:D80)</f>
        <v>393676000</v>
      </c>
    </row>
    <row r="82" spans="1:5" x14ac:dyDescent="0.2">
      <c r="B82" s="6"/>
    </row>
    <row r="83" spans="1:5" x14ac:dyDescent="0.2">
      <c r="B83" s="6"/>
    </row>
    <row r="84" spans="1:5" x14ac:dyDescent="0.2">
      <c r="A84" s="231"/>
      <c r="B84" s="23" t="s">
        <v>368</v>
      </c>
      <c r="C84" s="232"/>
      <c r="D84" s="232"/>
    </row>
    <row r="85" spans="1:5" x14ac:dyDescent="0.2">
      <c r="A85" s="155"/>
      <c r="B85" s="156"/>
      <c r="C85" s="106" t="s">
        <v>168</v>
      </c>
      <c r="D85" s="106" t="s">
        <v>169</v>
      </c>
    </row>
    <row r="86" spans="1:5" x14ac:dyDescent="0.2">
      <c r="A86" s="248">
        <v>519905</v>
      </c>
      <c r="B86" s="156" t="s">
        <v>1078</v>
      </c>
      <c r="C86" s="233">
        <f>+Clientes!D87</f>
        <v>157822676.41999996</v>
      </c>
      <c r="D86" s="233"/>
    </row>
    <row r="87" spans="1:5" x14ac:dyDescent="0.2">
      <c r="A87" s="248">
        <v>425006</v>
      </c>
      <c r="B87" s="156" t="s">
        <v>1081</v>
      </c>
      <c r="C87" s="233"/>
      <c r="D87" s="233">
        <f>-Clientes!D88+C86</f>
        <v>168819462.41999996</v>
      </c>
    </row>
    <row r="88" spans="1:5" x14ac:dyDescent="0.2">
      <c r="A88" s="248">
        <v>139905</v>
      </c>
      <c r="B88" s="156" t="s">
        <v>1074</v>
      </c>
      <c r="C88" s="233"/>
      <c r="D88" s="233">
        <f>+C86</f>
        <v>157822676.41999996</v>
      </c>
    </row>
    <row r="89" spans="1:5" x14ac:dyDescent="0.2">
      <c r="A89" s="248">
        <v>139906</v>
      </c>
      <c r="B89" s="156" t="s">
        <v>1052</v>
      </c>
      <c r="C89" s="233">
        <f>+D87</f>
        <v>168819462.41999996</v>
      </c>
      <c r="D89" s="233">
        <f>+C87</f>
        <v>0</v>
      </c>
    </row>
    <row r="90" spans="1:5" x14ac:dyDescent="0.2">
      <c r="B90" s="6"/>
      <c r="C90" s="107">
        <f>SUM(C86:C89)</f>
        <v>326642138.83999991</v>
      </c>
      <c r="D90" s="107">
        <f>SUM(D86:D89)</f>
        <v>326642138.83999991</v>
      </c>
    </row>
    <row r="91" spans="1:5" x14ac:dyDescent="0.2">
      <c r="B91" s="6"/>
      <c r="C91" s="6"/>
      <c r="D91" s="6"/>
    </row>
    <row r="92" spans="1:5" x14ac:dyDescent="0.2">
      <c r="B92" s="6"/>
    </row>
    <row r="93" spans="1:5" x14ac:dyDescent="0.2">
      <c r="B93" s="6"/>
    </row>
    <row r="94" spans="1:5" x14ac:dyDescent="0.2">
      <c r="A94" s="231"/>
      <c r="B94" s="23" t="s">
        <v>321</v>
      </c>
      <c r="C94" s="232"/>
      <c r="D94" s="232"/>
    </row>
    <row r="95" spans="1:5" x14ac:dyDescent="0.2">
      <c r="A95" s="155"/>
      <c r="B95" s="156"/>
      <c r="C95" s="106" t="s">
        <v>168</v>
      </c>
      <c r="D95" s="106" t="s">
        <v>169</v>
      </c>
    </row>
    <row r="96" spans="1:5" x14ac:dyDescent="0.2">
      <c r="A96" s="248">
        <v>140501</v>
      </c>
      <c r="B96" s="156" t="s">
        <v>63</v>
      </c>
      <c r="C96" s="233"/>
      <c r="D96" s="233">
        <f>+Inventarios!C101</f>
        <v>652890000</v>
      </c>
      <c r="E96" s="229" t="s">
        <v>322</v>
      </c>
    </row>
    <row r="97" spans="1:5" x14ac:dyDescent="0.2">
      <c r="A97" s="248">
        <v>143005</v>
      </c>
      <c r="B97" s="156" t="s">
        <v>64</v>
      </c>
      <c r="C97" s="233"/>
      <c r="D97" s="233">
        <f>+Inventarios!C102</f>
        <v>579550000</v>
      </c>
      <c r="E97" s="229" t="s">
        <v>322</v>
      </c>
    </row>
    <row r="98" spans="1:5" x14ac:dyDescent="0.2">
      <c r="A98" s="248">
        <v>140501</v>
      </c>
      <c r="B98" s="156" t="s">
        <v>63</v>
      </c>
      <c r="C98" s="233">
        <f>+Inventarios!C110</f>
        <v>579150000</v>
      </c>
      <c r="D98" s="233"/>
      <c r="E98" s="229" t="s">
        <v>323</v>
      </c>
    </row>
    <row r="99" spans="1:5" x14ac:dyDescent="0.2">
      <c r="A99" s="248">
        <v>143005</v>
      </c>
      <c r="B99" s="156" t="s">
        <v>64</v>
      </c>
      <c r="C99" s="233">
        <f>+Inventarios!C111</f>
        <v>572030000</v>
      </c>
      <c r="D99" s="233"/>
      <c r="E99" s="229" t="s">
        <v>323</v>
      </c>
    </row>
    <row r="100" spans="1:5" x14ac:dyDescent="0.2">
      <c r="A100" s="248">
        <v>710505</v>
      </c>
      <c r="B100" s="156" t="s">
        <v>324</v>
      </c>
      <c r="C100" s="233">
        <f>+Inventarios!C104</f>
        <v>10874900000</v>
      </c>
      <c r="D100" s="233"/>
      <c r="E100" s="229" t="s">
        <v>325</v>
      </c>
    </row>
    <row r="101" spans="1:5" x14ac:dyDescent="0.2">
      <c r="A101" s="248">
        <v>240801</v>
      </c>
      <c r="B101" s="156" t="s">
        <v>331</v>
      </c>
      <c r="C101" s="233">
        <f>+C100*0.16</f>
        <v>1739984000</v>
      </c>
      <c r="D101" s="233"/>
      <c r="E101" s="229" t="s">
        <v>325</v>
      </c>
    </row>
    <row r="102" spans="1:5" x14ac:dyDescent="0.2">
      <c r="A102" s="248">
        <v>733005</v>
      </c>
      <c r="B102" s="156" t="s">
        <v>226</v>
      </c>
      <c r="C102" s="233">
        <f>+Inventarios!C106</f>
        <v>456526000</v>
      </c>
      <c r="D102" s="233"/>
      <c r="E102" s="229" t="s">
        <v>325</v>
      </c>
    </row>
    <row r="103" spans="1:5" x14ac:dyDescent="0.2">
      <c r="A103" s="248">
        <v>720505</v>
      </c>
      <c r="B103" s="156" t="s">
        <v>233</v>
      </c>
      <c r="C103" s="233">
        <f>+Inventarios!C107</f>
        <v>5950000000</v>
      </c>
      <c r="D103" s="233"/>
      <c r="E103" s="229" t="s">
        <v>325</v>
      </c>
    </row>
    <row r="104" spans="1:5" x14ac:dyDescent="0.2">
      <c r="A104" s="248">
        <v>738005</v>
      </c>
      <c r="B104" s="156" t="s">
        <v>367</v>
      </c>
      <c r="C104" s="233">
        <f>+Inventarios!C108</f>
        <v>1815000000</v>
      </c>
      <c r="D104" s="233"/>
      <c r="E104" s="229" t="s">
        <v>325</v>
      </c>
    </row>
    <row r="105" spans="1:5" x14ac:dyDescent="0.2">
      <c r="A105" s="248">
        <v>710505</v>
      </c>
      <c r="B105" s="156" t="s">
        <v>225</v>
      </c>
      <c r="C105" s="233">
        <f>+D96</f>
        <v>652890000</v>
      </c>
      <c r="D105" s="233">
        <f>+C98</f>
        <v>579150000</v>
      </c>
      <c r="E105" s="229" t="s">
        <v>326</v>
      </c>
    </row>
    <row r="106" spans="1:5" x14ac:dyDescent="0.2">
      <c r="A106" s="248">
        <v>612005</v>
      </c>
      <c r="B106" s="156" t="s">
        <v>281</v>
      </c>
      <c r="C106" s="233">
        <f>+D97</f>
        <v>579550000</v>
      </c>
      <c r="D106" s="233">
        <f>+C99</f>
        <v>572030000</v>
      </c>
    </row>
    <row r="107" spans="1:5" x14ac:dyDescent="0.2">
      <c r="A107" s="248">
        <v>111005</v>
      </c>
      <c r="B107" s="156" t="s">
        <v>88</v>
      </c>
      <c r="C107" s="233"/>
      <c r="D107" s="233">
        <f>+C100+C102+C103+C104+C101</f>
        <v>20836410000</v>
      </c>
    </row>
    <row r="108" spans="1:5" x14ac:dyDescent="0.2">
      <c r="B108" s="6"/>
      <c r="C108" s="107">
        <f>SUM(C96:C107)</f>
        <v>23220030000</v>
      </c>
      <c r="D108" s="107">
        <f>SUM(D96:D107)</f>
        <v>23220030000</v>
      </c>
    </row>
    <row r="109" spans="1:5" x14ac:dyDescent="0.2">
      <c r="B109" s="6"/>
    </row>
    <row r="110" spans="1:5" x14ac:dyDescent="0.2">
      <c r="B110" s="6"/>
    </row>
    <row r="111" spans="1:5" x14ac:dyDescent="0.2">
      <c r="B111" s="6"/>
    </row>
    <row r="112" spans="1:5" x14ac:dyDescent="0.2">
      <c r="A112" s="231"/>
      <c r="B112" s="23" t="s">
        <v>328</v>
      </c>
      <c r="C112" s="232"/>
      <c r="D112" s="232"/>
    </row>
    <row r="113" spans="1:5" x14ac:dyDescent="0.2">
      <c r="A113" s="155"/>
      <c r="B113" s="156"/>
      <c r="C113" s="106" t="s">
        <v>168</v>
      </c>
      <c r="D113" s="106" t="s">
        <v>169</v>
      </c>
    </row>
    <row r="114" spans="1:5" x14ac:dyDescent="0.2">
      <c r="A114" s="248">
        <v>144505</v>
      </c>
      <c r="B114" s="156" t="s">
        <v>257</v>
      </c>
      <c r="C114" s="233">
        <f>+Inventarios!E88</f>
        <v>800000000</v>
      </c>
      <c r="D114" s="233"/>
      <c r="E114" s="229" t="s">
        <v>333</v>
      </c>
    </row>
    <row r="115" spans="1:5" x14ac:dyDescent="0.2">
      <c r="A115" s="248">
        <v>144505</v>
      </c>
      <c r="B115" s="156" t="s">
        <v>257</v>
      </c>
      <c r="C115" s="233"/>
      <c r="D115" s="233">
        <f>-Inventarios!H88</f>
        <v>269000000</v>
      </c>
      <c r="E115" s="229" t="s">
        <v>334</v>
      </c>
    </row>
    <row r="116" spans="1:5" x14ac:dyDescent="0.2">
      <c r="A116" s="248">
        <v>111005</v>
      </c>
      <c r="B116" s="156" t="s">
        <v>88</v>
      </c>
      <c r="C116" s="233"/>
      <c r="D116" s="233">
        <f>+C114</f>
        <v>800000000</v>
      </c>
    </row>
    <row r="117" spans="1:5" x14ac:dyDescent="0.2">
      <c r="A117" s="248">
        <v>610505</v>
      </c>
      <c r="B117" s="156" t="s">
        <v>282</v>
      </c>
      <c r="C117" s="233">
        <f>+D115</f>
        <v>269000000</v>
      </c>
      <c r="D117" s="233"/>
    </row>
    <row r="118" spans="1:5" x14ac:dyDescent="0.2">
      <c r="B118" s="6"/>
      <c r="C118" s="107">
        <f>SUM(C114:C117)</f>
        <v>1069000000</v>
      </c>
      <c r="D118" s="107">
        <f>SUM(D114:D117)</f>
        <v>1069000000</v>
      </c>
    </row>
    <row r="119" spans="1:5" x14ac:dyDescent="0.2">
      <c r="B119" s="6"/>
    </row>
    <row r="120" spans="1:5" x14ac:dyDescent="0.2">
      <c r="B120" s="6"/>
    </row>
    <row r="121" spans="1:5" x14ac:dyDescent="0.2">
      <c r="B121" s="6"/>
    </row>
    <row r="122" spans="1:5" x14ac:dyDescent="0.2">
      <c r="A122" s="231"/>
      <c r="B122" s="23" t="s">
        <v>335</v>
      </c>
      <c r="C122" s="232"/>
      <c r="D122" s="232"/>
    </row>
    <row r="123" spans="1:5" x14ac:dyDescent="0.2">
      <c r="A123" s="155"/>
      <c r="B123" s="156"/>
      <c r="C123" s="106" t="s">
        <v>168</v>
      </c>
      <c r="D123" s="106" t="s">
        <v>169</v>
      </c>
    </row>
    <row r="124" spans="1:5" x14ac:dyDescent="0.2">
      <c r="A124" s="248">
        <v>159205</v>
      </c>
      <c r="B124" s="156" t="s">
        <v>1095</v>
      </c>
      <c r="C124" s="233"/>
      <c r="D124" s="233">
        <f>+PPYE!D42-PPYE!D11</f>
        <v>122250000</v>
      </c>
      <c r="E124" s="229" t="s">
        <v>294</v>
      </c>
    </row>
    <row r="125" spans="1:5" x14ac:dyDescent="0.2">
      <c r="A125" s="248">
        <v>159297</v>
      </c>
      <c r="B125" s="156" t="s">
        <v>1096</v>
      </c>
      <c r="C125" s="233"/>
      <c r="D125" s="233">
        <f>+PPYE!G42-PPYE!G11-D124</f>
        <v>-73350000</v>
      </c>
      <c r="E125" s="229" t="s">
        <v>294</v>
      </c>
    </row>
    <row r="126" spans="1:5" x14ac:dyDescent="0.2">
      <c r="A126" s="248">
        <v>159210</v>
      </c>
      <c r="B126" s="156" t="s">
        <v>1097</v>
      </c>
      <c r="C126" s="233"/>
      <c r="D126" s="233">
        <f>+PPYE!D43-PPYE!D12</f>
        <v>82526532</v>
      </c>
    </row>
    <row r="127" spans="1:5" x14ac:dyDescent="0.2">
      <c r="A127" s="248">
        <v>159215</v>
      </c>
      <c r="B127" s="156" t="s">
        <v>1098</v>
      </c>
      <c r="C127" s="233"/>
      <c r="D127" s="233">
        <f>+PPYE!D44-PPYE!D13</f>
        <v>43505095</v>
      </c>
    </row>
    <row r="128" spans="1:5" x14ac:dyDescent="0.2">
      <c r="A128" s="248">
        <v>159220</v>
      </c>
      <c r="B128" s="156" t="s">
        <v>1099</v>
      </c>
      <c r="C128" s="233"/>
      <c r="D128" s="233">
        <f>+PPYE!D45-PPYE!D14</f>
        <v>0</v>
      </c>
    </row>
    <row r="129" spans="1:5" x14ac:dyDescent="0.2">
      <c r="A129" s="248">
        <v>159298</v>
      </c>
      <c r="B129" s="156" t="s">
        <v>1100</v>
      </c>
      <c r="C129" s="233"/>
      <c r="D129" s="233">
        <f>+PPYE!G45-PPYE!G14-D128</f>
        <v>6190476</v>
      </c>
    </row>
    <row r="130" spans="1:5" x14ac:dyDescent="0.2">
      <c r="A130" s="248">
        <v>736005</v>
      </c>
      <c r="B130" s="156" t="s">
        <v>221</v>
      </c>
      <c r="C130" s="233">
        <f>+D124+D126</f>
        <v>204776532</v>
      </c>
      <c r="D130" s="233"/>
    </row>
    <row r="131" spans="1:5" x14ac:dyDescent="0.2">
      <c r="A131" s="248">
        <v>736098</v>
      </c>
      <c r="B131" s="156" t="s">
        <v>1107</v>
      </c>
      <c r="C131" s="233">
        <f>+D125</f>
        <v>-73350000</v>
      </c>
      <c r="D131" s="233"/>
    </row>
    <row r="132" spans="1:5" x14ac:dyDescent="0.2">
      <c r="A132" s="208">
        <v>516005</v>
      </c>
      <c r="B132" s="154" t="s">
        <v>236</v>
      </c>
      <c r="C132" s="233">
        <f>+D127+D128</f>
        <v>43505095</v>
      </c>
      <c r="D132" s="233"/>
    </row>
    <row r="133" spans="1:5" x14ac:dyDescent="0.2">
      <c r="A133" s="208">
        <v>516098</v>
      </c>
      <c r="B133" s="154" t="s">
        <v>1108</v>
      </c>
      <c r="C133" s="233">
        <f>+D129</f>
        <v>6190476</v>
      </c>
      <c r="D133" s="233"/>
    </row>
    <row r="134" spans="1:5" x14ac:dyDescent="0.2">
      <c r="B134" s="6"/>
      <c r="C134" s="107">
        <f>SUM(C124:C133)</f>
        <v>181122103</v>
      </c>
      <c r="D134" s="107">
        <f>SUM(D124:D133)</f>
        <v>181122103</v>
      </c>
    </row>
    <row r="135" spans="1:5" x14ac:dyDescent="0.2">
      <c r="B135" s="6"/>
    </row>
    <row r="136" spans="1:5" x14ac:dyDescent="0.2">
      <c r="B136" s="6"/>
    </row>
    <row r="137" spans="1:5" x14ac:dyDescent="0.2">
      <c r="B137" s="6"/>
    </row>
    <row r="138" spans="1:5" x14ac:dyDescent="0.2">
      <c r="A138" s="231"/>
      <c r="B138" s="23" t="s">
        <v>336</v>
      </c>
      <c r="C138" s="232"/>
      <c r="D138" s="232"/>
    </row>
    <row r="139" spans="1:5" x14ac:dyDescent="0.2">
      <c r="A139" s="155"/>
      <c r="B139" s="156"/>
      <c r="C139" s="106" t="s">
        <v>168</v>
      </c>
      <c r="D139" s="106" t="s">
        <v>169</v>
      </c>
    </row>
    <row r="140" spans="1:5" x14ac:dyDescent="0.2">
      <c r="A140" s="248">
        <v>170545</v>
      </c>
      <c r="B140" s="156" t="s">
        <v>269</v>
      </c>
      <c r="C140" s="233"/>
      <c r="D140" s="233">
        <f>+'Otros activos'!E10</f>
        <v>13526000</v>
      </c>
      <c r="E140" s="229" t="s">
        <v>316</v>
      </c>
    </row>
    <row r="141" spans="1:5" x14ac:dyDescent="0.2">
      <c r="A141" s="248">
        <v>170525</v>
      </c>
      <c r="B141" s="156" t="s">
        <v>79</v>
      </c>
      <c r="C141" s="233"/>
      <c r="D141" s="233">
        <f>+'Otros activos'!E11</f>
        <v>7560000</v>
      </c>
      <c r="E141" s="229" t="s">
        <v>316</v>
      </c>
    </row>
    <row r="142" spans="1:5" x14ac:dyDescent="0.2">
      <c r="A142" s="248">
        <v>170520</v>
      </c>
      <c r="B142" s="156" t="s">
        <v>270</v>
      </c>
      <c r="C142" s="233"/>
      <c r="D142" s="233">
        <f>+'Otros activos'!E12</f>
        <v>5500000</v>
      </c>
      <c r="E142" s="229" t="s">
        <v>316</v>
      </c>
    </row>
    <row r="143" spans="1:5" x14ac:dyDescent="0.2">
      <c r="A143" s="248">
        <v>170545</v>
      </c>
      <c r="B143" s="156" t="s">
        <v>269</v>
      </c>
      <c r="C143" s="233">
        <f>+'Otros activos'!C31</f>
        <v>7326000</v>
      </c>
      <c r="D143" s="233"/>
      <c r="E143" s="229" t="s">
        <v>177</v>
      </c>
    </row>
    <row r="144" spans="1:5" x14ac:dyDescent="0.2">
      <c r="A144" s="248">
        <v>170525</v>
      </c>
      <c r="B144" s="156" t="s">
        <v>79</v>
      </c>
      <c r="C144" s="233">
        <f>+'Otros activos'!C32</f>
        <v>8352000</v>
      </c>
      <c r="D144" s="233"/>
      <c r="E144" s="229" t="s">
        <v>177</v>
      </c>
    </row>
    <row r="145" spans="1:5" x14ac:dyDescent="0.2">
      <c r="A145" s="248">
        <v>170520</v>
      </c>
      <c r="B145" s="156" t="s">
        <v>270</v>
      </c>
      <c r="C145" s="233">
        <f>+'Otros activos'!C33</f>
        <v>6500000</v>
      </c>
      <c r="D145" s="233"/>
      <c r="E145" s="229" t="s">
        <v>177</v>
      </c>
    </row>
    <row r="146" spans="1:5" x14ac:dyDescent="0.2">
      <c r="A146" s="248">
        <v>519510</v>
      </c>
      <c r="B146" s="156" t="s">
        <v>228</v>
      </c>
      <c r="C146" s="233">
        <f>+D140</f>
        <v>13526000</v>
      </c>
      <c r="D146" s="233"/>
    </row>
    <row r="147" spans="1:5" x14ac:dyDescent="0.2">
      <c r="A147" s="248">
        <v>512005</v>
      </c>
      <c r="B147" s="156" t="s">
        <v>337</v>
      </c>
      <c r="C147" s="233">
        <f>+D141</f>
        <v>7560000</v>
      </c>
      <c r="D147" s="233"/>
    </row>
    <row r="148" spans="1:5" x14ac:dyDescent="0.2">
      <c r="A148" s="248">
        <v>513005</v>
      </c>
      <c r="B148" s="156" t="s">
        <v>338</v>
      </c>
      <c r="C148" s="233">
        <f>+D142</f>
        <v>5500000</v>
      </c>
      <c r="D148" s="233"/>
    </row>
    <row r="149" spans="1:5" x14ac:dyDescent="0.2">
      <c r="A149" s="248">
        <v>111005</v>
      </c>
      <c r="B149" s="156" t="s">
        <v>88</v>
      </c>
      <c r="C149" s="233"/>
      <c r="D149" s="233">
        <f>+C143+C144+C145</f>
        <v>22178000</v>
      </c>
    </row>
    <row r="150" spans="1:5" x14ac:dyDescent="0.2">
      <c r="B150" s="6"/>
      <c r="C150" s="107">
        <f>SUM(C140:C149)</f>
        <v>48764000</v>
      </c>
      <c r="D150" s="107">
        <f>SUM(D140:D149)</f>
        <v>48764000</v>
      </c>
    </row>
    <row r="151" spans="1:5" x14ac:dyDescent="0.2">
      <c r="B151" s="6"/>
    </row>
    <row r="152" spans="1:5" x14ac:dyDescent="0.2">
      <c r="B152" s="6"/>
    </row>
    <row r="153" spans="1:5" x14ac:dyDescent="0.2">
      <c r="B153" s="6"/>
    </row>
    <row r="154" spans="1:5" x14ac:dyDescent="0.2">
      <c r="A154" s="231"/>
      <c r="B154" s="23" t="s">
        <v>339</v>
      </c>
      <c r="C154" s="232"/>
      <c r="D154" s="232"/>
    </row>
    <row r="155" spans="1:5" x14ac:dyDescent="0.2">
      <c r="A155" s="155"/>
      <c r="B155" s="156"/>
      <c r="C155" s="106" t="s">
        <v>168</v>
      </c>
      <c r="D155" s="106" t="s">
        <v>169</v>
      </c>
    </row>
    <row r="156" spans="1:5" x14ac:dyDescent="0.2">
      <c r="A156" s="248">
        <v>161098</v>
      </c>
      <c r="B156" s="156" t="s">
        <v>47</v>
      </c>
      <c r="C156" s="233"/>
      <c r="D156" s="233">
        <f>+'Otros activos'!I38</f>
        <v>13000000</v>
      </c>
    </row>
    <row r="157" spans="1:5" x14ac:dyDescent="0.2">
      <c r="A157" s="248">
        <v>516510</v>
      </c>
      <c r="B157" s="156" t="s">
        <v>190</v>
      </c>
      <c r="C157" s="233">
        <f>+D156</f>
        <v>13000000</v>
      </c>
      <c r="D157" s="233"/>
    </row>
    <row r="158" spans="1:5" x14ac:dyDescent="0.2">
      <c r="B158" s="6"/>
      <c r="C158" s="107">
        <f>SUM(C156:C157)</f>
        <v>13000000</v>
      </c>
      <c r="D158" s="107">
        <f>SUM(D156:D157)</f>
        <v>13000000</v>
      </c>
    </row>
    <row r="159" spans="1:5" x14ac:dyDescent="0.2">
      <c r="B159" s="6"/>
    </row>
    <row r="160" spans="1:5" x14ac:dyDescent="0.2">
      <c r="B160" s="6"/>
    </row>
    <row r="161" spans="1:5" x14ac:dyDescent="0.2">
      <c r="B161" s="6"/>
    </row>
    <row r="162" spans="1:5" x14ac:dyDescent="0.2">
      <c r="A162" s="231"/>
      <c r="B162" s="23" t="s">
        <v>341</v>
      </c>
      <c r="C162" s="232"/>
      <c r="D162" s="232"/>
    </row>
    <row r="163" spans="1:5" x14ac:dyDescent="0.2">
      <c r="A163" s="155"/>
      <c r="B163" s="156"/>
      <c r="C163" s="106" t="s">
        <v>168</v>
      </c>
      <c r="D163" s="106" t="s">
        <v>169</v>
      </c>
    </row>
    <row r="164" spans="1:5" x14ac:dyDescent="0.2">
      <c r="A164" s="248">
        <v>210510</v>
      </c>
      <c r="B164" s="156" t="s">
        <v>18</v>
      </c>
      <c r="C164" s="233">
        <f>+ROUND((Pasivos!P57-Pasivos!Q57),0)</f>
        <v>541010194</v>
      </c>
      <c r="D164" s="233"/>
    </row>
    <row r="165" spans="1:5" x14ac:dyDescent="0.2">
      <c r="A165" s="248">
        <v>530520</v>
      </c>
      <c r="B165" s="156" t="s">
        <v>43</v>
      </c>
      <c r="C165" s="233">
        <f>+ROUND((Pasivos!Q57),0)</f>
        <v>310279820</v>
      </c>
      <c r="D165" s="233"/>
    </row>
    <row r="166" spans="1:5" x14ac:dyDescent="0.2">
      <c r="A166" s="248">
        <v>111005</v>
      </c>
      <c r="B166" s="156" t="s">
        <v>88</v>
      </c>
      <c r="C166" s="233"/>
      <c r="D166" s="233">
        <f>+C164+C165</f>
        <v>851290014</v>
      </c>
    </row>
    <row r="167" spans="1:5" x14ac:dyDescent="0.2">
      <c r="B167" s="6"/>
      <c r="C167" s="107">
        <f>SUM(C164:C166)</f>
        <v>851290014</v>
      </c>
      <c r="D167" s="107">
        <f>SUM(D164:D166)</f>
        <v>851290014</v>
      </c>
    </row>
    <row r="168" spans="1:5" x14ac:dyDescent="0.2">
      <c r="B168" s="6"/>
    </row>
    <row r="169" spans="1:5" x14ac:dyDescent="0.2">
      <c r="B169" s="6"/>
    </row>
    <row r="170" spans="1:5" x14ac:dyDescent="0.2">
      <c r="A170" s="231"/>
      <c r="B170" s="23" t="s">
        <v>342</v>
      </c>
      <c r="C170" s="232"/>
      <c r="D170" s="232"/>
    </row>
    <row r="171" spans="1:5" x14ac:dyDescent="0.2">
      <c r="A171" s="155"/>
      <c r="B171" s="156"/>
      <c r="C171" s="106" t="s">
        <v>168</v>
      </c>
      <c r="D171" s="106" t="s">
        <v>169</v>
      </c>
    </row>
    <row r="172" spans="1:5" x14ac:dyDescent="0.2">
      <c r="A172" s="248">
        <v>220505</v>
      </c>
      <c r="B172" s="156" t="s">
        <v>49</v>
      </c>
      <c r="C172" s="233">
        <f>+'BP 311220x2'!C56</f>
        <v>652000000</v>
      </c>
      <c r="D172" s="233"/>
      <c r="E172" s="229" t="s">
        <v>289</v>
      </c>
    </row>
    <row r="173" spans="1:5" x14ac:dyDescent="0.2">
      <c r="A173" s="248">
        <v>236595</v>
      </c>
      <c r="B173" s="156" t="s">
        <v>22</v>
      </c>
      <c r="C173" s="233">
        <f>+'BP 311220x2'!C57</f>
        <v>26500000</v>
      </c>
      <c r="D173" s="233"/>
      <c r="E173" s="229" t="s">
        <v>289</v>
      </c>
    </row>
    <row r="174" spans="1:5" x14ac:dyDescent="0.2">
      <c r="A174" s="248">
        <v>237010</v>
      </c>
      <c r="B174" s="156" t="s">
        <v>75</v>
      </c>
      <c r="C174" s="233">
        <f>+'BP 311220x2'!C58</f>
        <v>36250000</v>
      </c>
      <c r="D174" s="233"/>
      <c r="E174" s="229" t="s">
        <v>289</v>
      </c>
    </row>
    <row r="175" spans="1:5" x14ac:dyDescent="0.2">
      <c r="A175" s="248">
        <v>237005</v>
      </c>
      <c r="B175" s="156" t="s">
        <v>131</v>
      </c>
      <c r="C175" s="233">
        <f>+'BP 311220x2'!C59</f>
        <v>63250000</v>
      </c>
      <c r="D175" s="233"/>
      <c r="E175" s="229" t="s">
        <v>289</v>
      </c>
    </row>
    <row r="176" spans="1:5" x14ac:dyDescent="0.2">
      <c r="A176" s="248">
        <v>237045</v>
      </c>
      <c r="B176" s="156" t="s">
        <v>80</v>
      </c>
      <c r="C176" s="233">
        <f>+'BP 311220x2'!C60</f>
        <v>176523000</v>
      </c>
      <c r="D176" s="233"/>
      <c r="E176" s="229" t="s">
        <v>289</v>
      </c>
    </row>
    <row r="177" spans="1:5" x14ac:dyDescent="0.2">
      <c r="A177" s="248">
        <v>240404</v>
      </c>
      <c r="B177" s="156" t="s">
        <v>74</v>
      </c>
      <c r="C177" s="233">
        <f>+'BP 311220x2'!C61</f>
        <v>125600000</v>
      </c>
      <c r="D177" s="233"/>
      <c r="E177" s="229" t="s">
        <v>289</v>
      </c>
    </row>
    <row r="178" spans="1:5" x14ac:dyDescent="0.2">
      <c r="A178" s="248">
        <v>241205</v>
      </c>
      <c r="B178" s="156" t="s">
        <v>24</v>
      </c>
      <c r="C178" s="233">
        <f>+'BP 311220x2'!C63</f>
        <v>140000000</v>
      </c>
      <c r="D178" s="233"/>
      <c r="E178" s="229" t="s">
        <v>289</v>
      </c>
    </row>
    <row r="179" spans="1:5" x14ac:dyDescent="0.2">
      <c r="A179" s="248">
        <v>220505</v>
      </c>
      <c r="B179" s="156" t="s">
        <v>49</v>
      </c>
      <c r="C179" s="233"/>
      <c r="D179" s="233">
        <v>612345768</v>
      </c>
      <c r="E179" s="229" t="s">
        <v>177</v>
      </c>
    </row>
    <row r="180" spans="1:5" x14ac:dyDescent="0.2">
      <c r="A180" s="248">
        <v>236595</v>
      </c>
      <c r="B180" s="156" t="s">
        <v>22</v>
      </c>
      <c r="C180" s="233"/>
      <c r="D180" s="233">
        <v>12543000</v>
      </c>
      <c r="E180" s="229" t="s">
        <v>177</v>
      </c>
    </row>
    <row r="181" spans="1:5" x14ac:dyDescent="0.2">
      <c r="A181" s="248">
        <v>237010</v>
      </c>
      <c r="B181" s="156" t="s">
        <v>75</v>
      </c>
      <c r="C181" s="233"/>
      <c r="D181" s="233">
        <v>37876000</v>
      </c>
      <c r="E181" s="229" t="s">
        <v>177</v>
      </c>
    </row>
    <row r="182" spans="1:5" x14ac:dyDescent="0.2">
      <c r="A182" s="248">
        <v>237005</v>
      </c>
      <c r="B182" s="156" t="s">
        <v>131</v>
      </c>
      <c r="C182" s="233"/>
      <c r="D182" s="233">
        <v>58765000</v>
      </c>
      <c r="E182" s="229" t="s">
        <v>177</v>
      </c>
    </row>
    <row r="183" spans="1:5" x14ac:dyDescent="0.2">
      <c r="A183" s="248">
        <v>237045</v>
      </c>
      <c r="B183" s="156" t="s">
        <v>80</v>
      </c>
      <c r="C183" s="233"/>
      <c r="D183" s="233">
        <v>174654000</v>
      </c>
      <c r="E183" s="229" t="s">
        <v>177</v>
      </c>
    </row>
    <row r="184" spans="1:5" x14ac:dyDescent="0.2">
      <c r="A184" s="248">
        <v>240801</v>
      </c>
      <c r="B184" s="156" t="s">
        <v>343</v>
      </c>
      <c r="C184" s="233">
        <v>2000000000</v>
      </c>
      <c r="D184" s="233"/>
      <c r="E184" s="229" t="s">
        <v>344</v>
      </c>
    </row>
    <row r="185" spans="1:5" x14ac:dyDescent="0.2">
      <c r="A185" s="248">
        <v>241205</v>
      </c>
      <c r="B185" s="156" t="s">
        <v>24</v>
      </c>
      <c r="C185" s="233"/>
      <c r="D185" s="233">
        <f>+(D8+D9+D10-C11)*9.66/1000</f>
        <v>263254320</v>
      </c>
      <c r="E185" s="229" t="s">
        <v>177</v>
      </c>
    </row>
    <row r="186" spans="1:5" x14ac:dyDescent="0.2">
      <c r="A186" s="248">
        <v>511505</v>
      </c>
      <c r="B186" s="156" t="s">
        <v>278</v>
      </c>
      <c r="C186" s="233">
        <f>+D185</f>
        <v>263254320</v>
      </c>
      <c r="D186" s="233"/>
    </row>
    <row r="187" spans="1:5" x14ac:dyDescent="0.2">
      <c r="A187" s="248">
        <v>111005</v>
      </c>
      <c r="B187" s="156" t="s">
        <v>88</v>
      </c>
      <c r="C187" s="233"/>
      <c r="D187" s="233">
        <f>+C172+C173+C174+C175+C176+C177+C178-D179-D180-D181-D182-D183+C184</f>
        <v>2323939232</v>
      </c>
    </row>
    <row r="188" spans="1:5" x14ac:dyDescent="0.2">
      <c r="B188" s="6"/>
      <c r="C188" s="107">
        <f>SUM(C172:C187)</f>
        <v>3483377320</v>
      </c>
      <c r="D188" s="107">
        <f>SUM(D172:D187)</f>
        <v>3483377320</v>
      </c>
    </row>
    <row r="189" spans="1:5" x14ac:dyDescent="0.2">
      <c r="B189" s="6"/>
    </row>
    <row r="190" spans="1:5" x14ac:dyDescent="0.2">
      <c r="B190" s="6"/>
    </row>
    <row r="191" spans="1:5" x14ac:dyDescent="0.2">
      <c r="A191" s="231"/>
      <c r="B191" s="23" t="s">
        <v>345</v>
      </c>
      <c r="C191" s="232"/>
      <c r="D191" s="232"/>
    </row>
    <row r="192" spans="1:5" x14ac:dyDescent="0.2">
      <c r="A192" s="155"/>
      <c r="B192" s="156"/>
      <c r="C192" s="106" t="s">
        <v>168</v>
      </c>
      <c r="D192" s="106" t="s">
        <v>169</v>
      </c>
    </row>
    <row r="193" spans="1:5" x14ac:dyDescent="0.2">
      <c r="A193" s="248">
        <v>250505</v>
      </c>
      <c r="B193" s="156" t="s">
        <v>1105</v>
      </c>
      <c r="C193" s="233">
        <f>+'BP 311220x2'!C64</f>
        <v>69622638</v>
      </c>
      <c r="D193" s="233"/>
      <c r="E193" s="229" t="s">
        <v>289</v>
      </c>
    </row>
    <row r="194" spans="1:5" x14ac:dyDescent="0.2">
      <c r="A194" s="248">
        <v>250505</v>
      </c>
      <c r="B194" s="156" t="s">
        <v>1105</v>
      </c>
      <c r="C194" s="233"/>
      <c r="D194" s="233">
        <f>+Laboral!B35+Laboral!C35+Laboral!D35</f>
        <v>75453678</v>
      </c>
      <c r="E194" s="229" t="s">
        <v>177</v>
      </c>
    </row>
    <row r="195" spans="1:5" x14ac:dyDescent="0.2">
      <c r="A195" s="248">
        <v>510505</v>
      </c>
      <c r="B195" s="156" t="s">
        <v>186</v>
      </c>
      <c r="C195" s="233">
        <f>+Laboral!B35*12+Laboral!B35+Laboral!B35+Laboral!C35+Laboral!D35</f>
        <v>299703678</v>
      </c>
      <c r="D195" s="233"/>
    </row>
    <row r="196" spans="1:5" x14ac:dyDescent="0.2">
      <c r="A196" s="248">
        <v>111005</v>
      </c>
      <c r="B196" s="156" t="s">
        <v>88</v>
      </c>
      <c r="C196" s="233"/>
      <c r="D196" s="233">
        <f>+C195+C193-D194</f>
        <v>293872638</v>
      </c>
    </row>
    <row r="197" spans="1:5" x14ac:dyDescent="0.2">
      <c r="B197" s="6"/>
      <c r="C197" s="107">
        <f>SUM(C193:C196)</f>
        <v>369326316</v>
      </c>
      <c r="D197" s="107">
        <f>SUM(D193:D196)</f>
        <v>369326316</v>
      </c>
    </row>
    <row r="198" spans="1:5" x14ac:dyDescent="0.2">
      <c r="B198" s="6"/>
    </row>
    <row r="199" spans="1:5" x14ac:dyDescent="0.2">
      <c r="B199" s="6"/>
    </row>
    <row r="200" spans="1:5" x14ac:dyDescent="0.2">
      <c r="A200" s="231"/>
      <c r="B200" s="23" t="s">
        <v>360</v>
      </c>
      <c r="C200" s="232"/>
      <c r="D200" s="232"/>
    </row>
    <row r="201" spans="1:5" x14ac:dyDescent="0.2">
      <c r="A201" s="155"/>
      <c r="B201" s="156"/>
      <c r="C201" s="106" t="s">
        <v>168</v>
      </c>
      <c r="D201" s="106" t="s">
        <v>169</v>
      </c>
    </row>
    <row r="202" spans="1:5" x14ac:dyDescent="0.2">
      <c r="A202" s="248">
        <v>263505</v>
      </c>
      <c r="B202" s="156" t="s">
        <v>25</v>
      </c>
      <c r="C202" s="233">
        <f>+Pasivos!H93</f>
        <v>60000000</v>
      </c>
      <c r="D202" s="233"/>
      <c r="E202" s="229" t="s">
        <v>361</v>
      </c>
    </row>
    <row r="203" spans="1:5" x14ac:dyDescent="0.2">
      <c r="A203" s="248">
        <v>263505</v>
      </c>
      <c r="B203" s="156" t="s">
        <v>25</v>
      </c>
      <c r="C203" s="233"/>
      <c r="D203" s="233">
        <f>+Pasivos!H94</f>
        <v>62954000</v>
      </c>
      <c r="E203" s="229" t="s">
        <v>362</v>
      </c>
    </row>
    <row r="204" spans="1:5" x14ac:dyDescent="0.2">
      <c r="A204" s="248">
        <v>111005</v>
      </c>
      <c r="B204" s="156" t="s">
        <v>89</v>
      </c>
      <c r="C204" s="233"/>
      <c r="D204" s="233">
        <f>+C202</f>
        <v>60000000</v>
      </c>
    </row>
    <row r="205" spans="1:5" x14ac:dyDescent="0.2">
      <c r="A205" s="248">
        <v>539505</v>
      </c>
      <c r="B205" s="156" t="s">
        <v>283</v>
      </c>
      <c r="C205" s="233">
        <f>+D203</f>
        <v>62954000</v>
      </c>
      <c r="D205" s="233"/>
    </row>
    <row r="206" spans="1:5" x14ac:dyDescent="0.2">
      <c r="B206" s="6"/>
      <c r="C206" s="107">
        <f>SUM(C202:C205)</f>
        <v>122954000</v>
      </c>
      <c r="D206" s="107">
        <f>SUM(D202:D205)</f>
        <v>122954000</v>
      </c>
    </row>
    <row r="207" spans="1:5" x14ac:dyDescent="0.2">
      <c r="B207" s="6"/>
    </row>
    <row r="208" spans="1:5" x14ac:dyDescent="0.2">
      <c r="B208" s="6"/>
    </row>
    <row r="209" spans="1:5" x14ac:dyDescent="0.2">
      <c r="A209" s="231"/>
      <c r="B209" s="23" t="s">
        <v>400</v>
      </c>
      <c r="C209" s="232"/>
      <c r="D209" s="232"/>
    </row>
    <row r="210" spans="1:5" x14ac:dyDescent="0.2">
      <c r="A210" s="155"/>
      <c r="B210" s="156"/>
      <c r="C210" s="106" t="s">
        <v>168</v>
      </c>
      <c r="D210" s="106" t="s">
        <v>169</v>
      </c>
    </row>
    <row r="211" spans="1:5" x14ac:dyDescent="0.2">
      <c r="A211" s="248">
        <v>264005</v>
      </c>
      <c r="B211" s="156" t="s">
        <v>401</v>
      </c>
      <c r="C211" s="233"/>
      <c r="D211" s="233">
        <f>+C212</f>
        <v>165000000</v>
      </c>
      <c r="E211" s="229" t="s">
        <v>364</v>
      </c>
    </row>
    <row r="212" spans="1:5" x14ac:dyDescent="0.2">
      <c r="A212" s="248">
        <v>612010</v>
      </c>
      <c r="B212" s="156" t="s">
        <v>396</v>
      </c>
      <c r="C212" s="233">
        <f>+Pasivos!C101</f>
        <v>165000000</v>
      </c>
      <c r="D212" s="233"/>
    </row>
    <row r="213" spans="1:5" x14ac:dyDescent="0.2">
      <c r="A213" s="248">
        <v>264005</v>
      </c>
      <c r="B213" s="156" t="s">
        <v>401</v>
      </c>
      <c r="C213" s="233">
        <f>+Pasivos!C102</f>
        <v>161440000</v>
      </c>
      <c r="D213" s="233"/>
      <c r="E213" s="229" t="s">
        <v>402</v>
      </c>
    </row>
    <row r="214" spans="1:5" x14ac:dyDescent="0.2">
      <c r="A214" s="248">
        <v>111005</v>
      </c>
      <c r="B214" s="156" t="s">
        <v>89</v>
      </c>
      <c r="C214" s="233"/>
      <c r="D214" s="233">
        <f>+C213</f>
        <v>161440000</v>
      </c>
    </row>
    <row r="215" spans="1:5" x14ac:dyDescent="0.2">
      <c r="B215" s="6"/>
      <c r="C215" s="107">
        <f>SUM(C211:C214)</f>
        <v>326440000</v>
      </c>
      <c r="D215" s="107">
        <f>SUM(D211:D214)</f>
        <v>326440000</v>
      </c>
    </row>
    <row r="216" spans="1:5" x14ac:dyDescent="0.2">
      <c r="B216" s="6"/>
    </row>
    <row r="217" spans="1:5" x14ac:dyDescent="0.2">
      <c r="B217" s="6"/>
    </row>
    <row r="218" spans="1:5" x14ac:dyDescent="0.2">
      <c r="B218" s="6"/>
    </row>
    <row r="219" spans="1:5" x14ac:dyDescent="0.2">
      <c r="A219" s="231"/>
      <c r="B219" s="23" t="s">
        <v>365</v>
      </c>
      <c r="C219" s="232"/>
      <c r="D219" s="232"/>
    </row>
    <row r="220" spans="1:5" x14ac:dyDescent="0.2">
      <c r="A220" s="155"/>
      <c r="B220" s="156"/>
      <c r="C220" s="106" t="s">
        <v>168</v>
      </c>
      <c r="D220" s="106" t="s">
        <v>169</v>
      </c>
    </row>
    <row r="221" spans="1:5" x14ac:dyDescent="0.2">
      <c r="A221" s="248">
        <v>370505</v>
      </c>
      <c r="B221" s="156" t="s">
        <v>15</v>
      </c>
      <c r="C221" s="233"/>
      <c r="D221" s="233">
        <f>+C223-D222</f>
        <v>1086385850</v>
      </c>
    </row>
    <row r="222" spans="1:5" x14ac:dyDescent="0.2">
      <c r="A222" s="248">
        <v>330505</v>
      </c>
      <c r="B222" s="156" t="s">
        <v>12</v>
      </c>
      <c r="C222" s="233"/>
      <c r="D222" s="233">
        <f>+ROUND((C223*0.1),0)</f>
        <v>120709539</v>
      </c>
    </row>
    <row r="223" spans="1:5" x14ac:dyDescent="0.2">
      <c r="A223" s="248">
        <v>360505</v>
      </c>
      <c r="B223" s="156" t="s">
        <v>14</v>
      </c>
      <c r="C223" s="233">
        <f>+'BP 311220x2'!C74</f>
        <v>1207095389</v>
      </c>
      <c r="D223" s="233"/>
    </row>
    <row r="224" spans="1:5" x14ac:dyDescent="0.2">
      <c r="B224" s="6"/>
      <c r="C224" s="107">
        <f>SUM(C221:C223)</f>
        <v>1207095389</v>
      </c>
      <c r="D224" s="107">
        <f>SUM(D221:D223)</f>
        <v>1207095389</v>
      </c>
    </row>
    <row r="225" spans="1:4" x14ac:dyDescent="0.2">
      <c r="B225" s="6"/>
    </row>
    <row r="226" spans="1:4" x14ac:dyDescent="0.2">
      <c r="B226" s="6"/>
    </row>
    <row r="227" spans="1:4" x14ac:dyDescent="0.2">
      <c r="B227" s="6"/>
    </row>
    <row r="228" spans="1:4" x14ac:dyDescent="0.2">
      <c r="B228" s="6"/>
    </row>
    <row r="229" spans="1:4" x14ac:dyDescent="0.2">
      <c r="B229" s="6"/>
    </row>
    <row r="230" spans="1:4" x14ac:dyDescent="0.2">
      <c r="A230" s="231"/>
      <c r="B230" s="23" t="s">
        <v>366</v>
      </c>
      <c r="C230" s="232"/>
      <c r="D230" s="232"/>
    </row>
    <row r="231" spans="1:4" x14ac:dyDescent="0.2">
      <c r="A231" s="155"/>
      <c r="B231" s="156"/>
      <c r="C231" s="106" t="s">
        <v>168</v>
      </c>
      <c r="D231" s="106" t="s">
        <v>169</v>
      </c>
    </row>
    <row r="232" spans="1:4" x14ac:dyDescent="0.2">
      <c r="A232" s="248">
        <v>619810</v>
      </c>
      <c r="B232" s="156" t="s">
        <v>183</v>
      </c>
      <c r="C232" s="233"/>
      <c r="D232" s="233">
        <v>36520000</v>
      </c>
    </row>
    <row r="233" spans="1:4" x14ac:dyDescent="0.2">
      <c r="A233" s="248">
        <v>422005</v>
      </c>
      <c r="B233" s="156" t="s">
        <v>79</v>
      </c>
      <c r="C233" s="233"/>
      <c r="D233" s="233">
        <v>58625000</v>
      </c>
    </row>
    <row r="234" spans="1:4" x14ac:dyDescent="0.2">
      <c r="A234" s="248">
        <v>511595</v>
      </c>
      <c r="B234" s="156" t="s">
        <v>280</v>
      </c>
      <c r="C234" s="233">
        <f>29000000*4</f>
        <v>116000000</v>
      </c>
      <c r="D234" s="233"/>
    </row>
    <row r="235" spans="1:4" x14ac:dyDescent="0.2">
      <c r="A235" s="248">
        <v>511515</v>
      </c>
      <c r="B235" s="156" t="s">
        <v>279</v>
      </c>
      <c r="C235" s="233">
        <v>65000000</v>
      </c>
      <c r="D235" s="233"/>
    </row>
    <row r="236" spans="1:4" x14ac:dyDescent="0.2">
      <c r="A236" s="248">
        <v>511590</v>
      </c>
      <c r="B236" s="156" t="s">
        <v>187</v>
      </c>
      <c r="C236" s="233">
        <v>12350000</v>
      </c>
      <c r="D236" s="233"/>
    </row>
    <row r="237" spans="1:4" x14ac:dyDescent="0.2">
      <c r="A237" s="248">
        <v>511005</v>
      </c>
      <c r="B237" s="156" t="s">
        <v>230</v>
      </c>
      <c r="C237" s="233">
        <v>125000000</v>
      </c>
      <c r="D237" s="233"/>
    </row>
    <row r="238" spans="1:4" x14ac:dyDescent="0.2">
      <c r="A238" s="248">
        <v>512005</v>
      </c>
      <c r="B238" s="156" t="s">
        <v>227</v>
      </c>
      <c r="C238" s="233">
        <v>120000000</v>
      </c>
      <c r="D238" s="233"/>
    </row>
    <row r="239" spans="1:4" x14ac:dyDescent="0.2">
      <c r="A239" s="248">
        <v>513505</v>
      </c>
      <c r="B239" s="156" t="s">
        <v>231</v>
      </c>
      <c r="C239" s="233">
        <v>652000000</v>
      </c>
      <c r="D239" s="233"/>
    </row>
    <row r="240" spans="1:4" x14ac:dyDescent="0.2">
      <c r="A240" s="248">
        <v>514005</v>
      </c>
      <c r="B240" s="156" t="s">
        <v>222</v>
      </c>
      <c r="C240" s="233">
        <v>32152000</v>
      </c>
      <c r="D240" s="233"/>
    </row>
    <row r="241" spans="1:5" x14ac:dyDescent="0.2">
      <c r="A241" s="248">
        <v>514505</v>
      </c>
      <c r="B241" s="156" t="s">
        <v>188</v>
      </c>
      <c r="C241" s="233">
        <v>145000000</v>
      </c>
      <c r="D241" s="233"/>
    </row>
    <row r="242" spans="1:5" x14ac:dyDescent="0.2">
      <c r="A242" s="248">
        <v>513005</v>
      </c>
      <c r="B242" s="156" t="s">
        <v>189</v>
      </c>
      <c r="C242" s="233">
        <v>36520000</v>
      </c>
      <c r="D242" s="233"/>
    </row>
    <row r="243" spans="1:5" x14ac:dyDescent="0.2">
      <c r="A243" s="248">
        <v>515505</v>
      </c>
      <c r="B243" s="156" t="s">
        <v>218</v>
      </c>
      <c r="C243" s="233">
        <v>62526000</v>
      </c>
      <c r="D243" s="233"/>
    </row>
    <row r="244" spans="1:5" x14ac:dyDescent="0.2">
      <c r="A244" s="248">
        <v>519510</v>
      </c>
      <c r="B244" s="156" t="s">
        <v>228</v>
      </c>
      <c r="C244" s="233">
        <v>12520000</v>
      </c>
      <c r="D244" s="233"/>
    </row>
    <row r="245" spans="1:5" x14ac:dyDescent="0.2">
      <c r="A245" s="248">
        <v>519530</v>
      </c>
      <c r="B245" s="156" t="s">
        <v>397</v>
      </c>
      <c r="C245" s="233">
        <v>65321000</v>
      </c>
      <c r="D245" s="233"/>
    </row>
    <row r="246" spans="1:5" x14ac:dyDescent="0.2">
      <c r="A246" s="248">
        <v>519585</v>
      </c>
      <c r="B246" s="156" t="s">
        <v>232</v>
      </c>
      <c r="C246" s="233">
        <v>45826000</v>
      </c>
      <c r="D246" s="233"/>
    </row>
    <row r="247" spans="1:5" x14ac:dyDescent="0.2">
      <c r="A247" s="248">
        <v>530505</v>
      </c>
      <c r="B247" s="156" t="s">
        <v>285</v>
      </c>
      <c r="C247" s="233">
        <v>12526000</v>
      </c>
      <c r="D247" s="233"/>
    </row>
    <row r="248" spans="1:5" x14ac:dyDescent="0.2">
      <c r="A248" s="248">
        <v>530520</v>
      </c>
      <c r="B248" s="156" t="s">
        <v>151</v>
      </c>
      <c r="C248" s="233">
        <v>6253000</v>
      </c>
      <c r="D248" s="233"/>
    </row>
    <row r="249" spans="1:5" x14ac:dyDescent="0.2">
      <c r="A249" s="248">
        <v>111005</v>
      </c>
      <c r="B249" s="156" t="s">
        <v>88</v>
      </c>
      <c r="C249" s="233">
        <f>+D232+D233</f>
        <v>95145000</v>
      </c>
      <c r="D249" s="233">
        <f>SUM(C234:C248)</f>
        <v>1508994000</v>
      </c>
    </row>
    <row r="250" spans="1:5" x14ac:dyDescent="0.2">
      <c r="B250" s="6"/>
      <c r="C250" s="107">
        <f>SUM(C232:C249)</f>
        <v>1604139000</v>
      </c>
      <c r="D250" s="107">
        <f>SUM(D232:D249)</f>
        <v>1604139000</v>
      </c>
    </row>
    <row r="251" spans="1:5" x14ac:dyDescent="0.2">
      <c r="B251" s="6"/>
    </row>
    <row r="252" spans="1:5" x14ac:dyDescent="0.2">
      <c r="B252" s="6"/>
    </row>
    <row r="253" spans="1:5" x14ac:dyDescent="0.2">
      <c r="B253" s="6"/>
    </row>
    <row r="254" spans="1:5" x14ac:dyDescent="0.2">
      <c r="A254" s="231"/>
      <c r="B254" s="23" t="s">
        <v>382</v>
      </c>
      <c r="C254" s="232"/>
      <c r="D254" s="232"/>
    </row>
    <row r="255" spans="1:5" x14ac:dyDescent="0.2">
      <c r="A255" s="155"/>
      <c r="B255" s="156"/>
      <c r="C255" s="106" t="s">
        <v>168</v>
      </c>
      <c r="D255" s="106" t="s">
        <v>169</v>
      </c>
    </row>
    <row r="256" spans="1:5" ht="13.5" customHeight="1" x14ac:dyDescent="0.2">
      <c r="A256" s="248">
        <v>540505</v>
      </c>
      <c r="B256" s="156" t="s">
        <v>286</v>
      </c>
      <c r="C256" s="233">
        <f>'Imp corriente'!D60</f>
        <v>1826523000</v>
      </c>
      <c r="D256" s="233"/>
      <c r="E256" s="229" t="s">
        <v>364</v>
      </c>
    </row>
    <row r="257" spans="1:7" ht="13.5" customHeight="1" x14ac:dyDescent="0.2">
      <c r="A257" s="248">
        <v>135515</v>
      </c>
      <c r="B257" s="156" t="s">
        <v>301</v>
      </c>
      <c r="C257" s="233"/>
      <c r="D257" s="233">
        <f>+'BP 311220x2'!D22</f>
        <v>678090000</v>
      </c>
      <c r="E257" s="229" t="s">
        <v>383</v>
      </c>
    </row>
    <row r="258" spans="1:7" x14ac:dyDescent="0.2">
      <c r="A258" s="248">
        <v>240404</v>
      </c>
      <c r="B258" s="156" t="s">
        <v>74</v>
      </c>
      <c r="C258" s="233"/>
      <c r="D258" s="233">
        <f>+C256-D257</f>
        <v>1148433000</v>
      </c>
    </row>
    <row r="259" spans="1:7" x14ac:dyDescent="0.2">
      <c r="B259" s="6"/>
      <c r="C259" s="107">
        <f>SUM(C256:C258)</f>
        <v>1826523000</v>
      </c>
      <c r="D259" s="107">
        <f>SUM(D256:D258)</f>
        <v>1826523000</v>
      </c>
    </row>
    <row r="260" spans="1:7" x14ac:dyDescent="0.2">
      <c r="B260" s="6"/>
    </row>
    <row r="261" spans="1:7" x14ac:dyDescent="0.2">
      <c r="B261" s="6"/>
    </row>
    <row r="262" spans="1:7" x14ac:dyDescent="0.2">
      <c r="B262" s="6"/>
    </row>
    <row r="263" spans="1:7" x14ac:dyDescent="0.2">
      <c r="B263" s="6"/>
    </row>
    <row r="264" spans="1:7" s="193" customFormat="1" x14ac:dyDescent="0.2">
      <c r="A264" s="234"/>
      <c r="B264" s="29" t="s">
        <v>384</v>
      </c>
      <c r="C264" s="235"/>
      <c r="D264" s="235"/>
      <c r="G264" s="229"/>
    </row>
    <row r="265" spans="1:7" s="193" customFormat="1" x14ac:dyDescent="0.2">
      <c r="A265" s="234"/>
      <c r="B265" s="29"/>
      <c r="C265" s="235"/>
      <c r="D265" s="235"/>
      <c r="G265" s="229"/>
    </row>
    <row r="266" spans="1:7" x14ac:dyDescent="0.2">
      <c r="B266" s="6"/>
    </row>
    <row r="267" spans="1:7" x14ac:dyDescent="0.2">
      <c r="A267" s="231"/>
      <c r="B267" s="23" t="s">
        <v>409</v>
      </c>
      <c r="C267" s="232"/>
      <c r="D267" s="232"/>
    </row>
    <row r="268" spans="1:7" x14ac:dyDescent="0.2">
      <c r="A268" s="155"/>
      <c r="B268" s="156" t="s">
        <v>0</v>
      </c>
      <c r="C268" s="106" t="s">
        <v>168</v>
      </c>
      <c r="D268" s="106" t="s">
        <v>169</v>
      </c>
    </row>
    <row r="269" spans="1:7" x14ac:dyDescent="0.2">
      <c r="A269" s="248">
        <v>120551</v>
      </c>
      <c r="B269" s="156" t="s">
        <v>1050</v>
      </c>
      <c r="C269" s="233">
        <f>+Acciones!E52</f>
        <v>15665160</v>
      </c>
      <c r="D269" s="233"/>
    </row>
    <row r="270" spans="1:7" x14ac:dyDescent="0.2">
      <c r="A270" s="248">
        <v>120521</v>
      </c>
      <c r="B270" s="156" t="s">
        <v>1051</v>
      </c>
      <c r="C270" s="233">
        <f>+Acciones!E53</f>
        <v>348214900</v>
      </c>
      <c r="D270" s="233"/>
    </row>
    <row r="271" spans="1:7" x14ac:dyDescent="0.2">
      <c r="A271" s="248">
        <v>430505</v>
      </c>
      <c r="B271" s="156" t="s">
        <v>181</v>
      </c>
      <c r="C271" s="233"/>
      <c r="D271" s="233">
        <f>+Acciones!E52+Acciones!E53</f>
        <v>363880060</v>
      </c>
    </row>
    <row r="272" spans="1:7" x14ac:dyDescent="0.2">
      <c r="C272" s="107">
        <f>SUM(C269:C271)</f>
        <v>363880060</v>
      </c>
      <c r="D272" s="107">
        <f>SUM(D269:D271)</f>
        <v>363880060</v>
      </c>
    </row>
    <row r="274" spans="1:5" x14ac:dyDescent="0.2">
      <c r="C274" s="107"/>
      <c r="D274" s="107"/>
    </row>
    <row r="277" spans="1:5" x14ac:dyDescent="0.2">
      <c r="A277" s="231"/>
      <c r="B277" s="23" t="s">
        <v>246</v>
      </c>
      <c r="C277" s="232"/>
      <c r="D277" s="232"/>
    </row>
    <row r="278" spans="1:5" x14ac:dyDescent="0.2">
      <c r="A278" s="155"/>
      <c r="B278" s="156" t="s">
        <v>0</v>
      </c>
      <c r="C278" s="106" t="s">
        <v>168</v>
      </c>
      <c r="D278" s="106" t="s">
        <v>169</v>
      </c>
    </row>
    <row r="279" spans="1:5" x14ac:dyDescent="0.2">
      <c r="A279" s="248">
        <v>129505</v>
      </c>
      <c r="B279" s="156" t="s">
        <v>170</v>
      </c>
      <c r="C279" s="233">
        <f>+Derivados!D23+Derivados!D24-Derivados!E23-Derivados!E24</f>
        <v>68160000</v>
      </c>
      <c r="D279" s="233"/>
    </row>
    <row r="280" spans="1:5" x14ac:dyDescent="0.2">
      <c r="A280" s="248">
        <v>210595</v>
      </c>
      <c r="B280" s="156" t="s">
        <v>170</v>
      </c>
      <c r="C280" s="233"/>
      <c r="D280" s="233">
        <f>-Derivados!D25-Derivados!D26</f>
        <v>5052000</v>
      </c>
      <c r="E280" s="229" t="s">
        <v>520</v>
      </c>
    </row>
    <row r="281" spans="1:5" x14ac:dyDescent="0.2">
      <c r="A281" s="248">
        <v>210595</v>
      </c>
      <c r="B281" s="156" t="s">
        <v>170</v>
      </c>
      <c r="C281" s="233">
        <f>-Derivados!D10-Derivados!D11</f>
        <v>10052000</v>
      </c>
      <c r="D281" s="233"/>
      <c r="E281" s="229" t="s">
        <v>288</v>
      </c>
    </row>
    <row r="282" spans="1:5" x14ac:dyDescent="0.2">
      <c r="A282" s="248">
        <v>431505</v>
      </c>
      <c r="B282" s="156" t="s">
        <v>385</v>
      </c>
      <c r="C282" s="233"/>
      <c r="D282" s="233">
        <f>+C279-D280+C281</f>
        <v>73160000</v>
      </c>
    </row>
    <row r="283" spans="1:5" x14ac:dyDescent="0.2">
      <c r="C283" s="107">
        <f>SUM(C279:C282)</f>
        <v>78212000</v>
      </c>
      <c r="D283" s="107">
        <f>SUM(D279:D282)</f>
        <v>78212000</v>
      </c>
    </row>
    <row r="284" spans="1:5" x14ac:dyDescent="0.2">
      <c r="C284" s="107"/>
      <c r="D284" s="107"/>
    </row>
    <row r="286" spans="1:5" x14ac:dyDescent="0.2">
      <c r="A286" s="231"/>
      <c r="B286" s="23" t="s">
        <v>267</v>
      </c>
      <c r="C286" s="232"/>
      <c r="D286" s="232"/>
    </row>
    <row r="287" spans="1:5" x14ac:dyDescent="0.2">
      <c r="A287" s="155"/>
      <c r="B287" s="156" t="s">
        <v>0</v>
      </c>
      <c r="C287" s="106" t="s">
        <v>168</v>
      </c>
      <c r="D287" s="106" t="s">
        <v>169</v>
      </c>
    </row>
    <row r="288" spans="1:5" x14ac:dyDescent="0.2">
      <c r="A288" s="248">
        <v>149905</v>
      </c>
      <c r="B288" s="156" t="s">
        <v>207</v>
      </c>
      <c r="C288" s="233"/>
      <c r="D288" s="233">
        <f>-Inventarios!E62+Inventarios!E13</f>
        <v>10550000</v>
      </c>
    </row>
    <row r="289" spans="1:5" x14ac:dyDescent="0.2">
      <c r="A289" s="248">
        <v>619905</v>
      </c>
      <c r="B289" s="156" t="s">
        <v>284</v>
      </c>
      <c r="C289" s="233">
        <f>+D288</f>
        <v>10550000</v>
      </c>
      <c r="D289" s="233"/>
      <c r="E289" s="229" t="s">
        <v>388</v>
      </c>
    </row>
    <row r="292" spans="1:5" x14ac:dyDescent="0.2">
      <c r="A292" s="231"/>
      <c r="B292" s="23" t="s">
        <v>268</v>
      </c>
      <c r="C292" s="232"/>
      <c r="D292" s="232"/>
    </row>
    <row r="293" spans="1:5" x14ac:dyDescent="0.2">
      <c r="A293" s="155"/>
      <c r="B293" s="156" t="s">
        <v>0</v>
      </c>
      <c r="C293" s="106" t="s">
        <v>168</v>
      </c>
      <c r="D293" s="106" t="s">
        <v>169</v>
      </c>
    </row>
    <row r="294" spans="1:5" x14ac:dyDescent="0.2">
      <c r="A294" s="248">
        <v>144597</v>
      </c>
      <c r="B294" s="156" t="s">
        <v>1083</v>
      </c>
      <c r="C294" s="233">
        <f>+D295-C296+D297</f>
        <v>81294000</v>
      </c>
      <c r="D294" s="233"/>
    </row>
    <row r="295" spans="1:5" x14ac:dyDescent="0.2">
      <c r="A295" s="248">
        <v>410595</v>
      </c>
      <c r="B295" s="156" t="s">
        <v>276</v>
      </c>
      <c r="C295" s="233"/>
      <c r="D295" s="233">
        <f>+Inventarios!F88</f>
        <v>100000000</v>
      </c>
      <c r="E295" s="229" t="s">
        <v>291</v>
      </c>
    </row>
    <row r="296" spans="1:5" x14ac:dyDescent="0.2">
      <c r="A296" s="248">
        <v>410595</v>
      </c>
      <c r="B296" s="156" t="s">
        <v>276</v>
      </c>
      <c r="C296" s="233">
        <f>-Inventarios!G88</f>
        <v>35000000</v>
      </c>
      <c r="D296" s="233"/>
      <c r="E296" s="229" t="s">
        <v>292</v>
      </c>
    </row>
    <row r="297" spans="1:5" x14ac:dyDescent="0.2">
      <c r="A297" s="248">
        <v>410595</v>
      </c>
      <c r="B297" s="156" t="s">
        <v>276</v>
      </c>
      <c r="C297" s="233"/>
      <c r="D297" s="233">
        <f>+Inventarios!N91</f>
        <v>16294000</v>
      </c>
      <c r="E297" s="229" t="s">
        <v>330</v>
      </c>
    </row>
    <row r="298" spans="1:5" x14ac:dyDescent="0.2">
      <c r="C298" s="107">
        <f>SUM(C294:C297)</f>
        <v>116294000</v>
      </c>
      <c r="D298" s="107">
        <f>SUM(D294:D297)</f>
        <v>116294000</v>
      </c>
    </row>
    <row r="304" spans="1:5" x14ac:dyDescent="0.2">
      <c r="A304" s="231"/>
      <c r="B304" s="23" t="s">
        <v>389</v>
      </c>
      <c r="C304" s="232"/>
      <c r="D304" s="232"/>
    </row>
    <row r="305" spans="1:5" x14ac:dyDescent="0.2">
      <c r="A305" s="155"/>
      <c r="B305" s="156" t="s">
        <v>0</v>
      </c>
      <c r="C305" s="106" t="s">
        <v>168</v>
      </c>
      <c r="D305" s="106" t="s">
        <v>169</v>
      </c>
    </row>
    <row r="306" spans="1:5" x14ac:dyDescent="0.2">
      <c r="A306" s="248">
        <v>210510</v>
      </c>
      <c r="B306" s="156" t="s">
        <v>211</v>
      </c>
      <c r="C306" s="233"/>
      <c r="D306" s="233">
        <f>+C307</f>
        <v>24373550</v>
      </c>
    </row>
    <row r="307" spans="1:5" x14ac:dyDescent="0.2">
      <c r="A307" s="248">
        <v>530522</v>
      </c>
      <c r="B307" s="156" t="s">
        <v>391</v>
      </c>
      <c r="C307" s="233">
        <f>-ROUND((Pasivos!W57),0)</f>
        <v>24373550</v>
      </c>
      <c r="D307" s="233"/>
    </row>
    <row r="308" spans="1:5" x14ac:dyDescent="0.2">
      <c r="C308" s="107">
        <f>SUM(C306:C307)</f>
        <v>24373550</v>
      </c>
      <c r="D308" s="107">
        <f>SUM(D306:D307)</f>
        <v>24373550</v>
      </c>
    </row>
    <row r="313" spans="1:5" x14ac:dyDescent="0.2">
      <c r="A313" s="231"/>
      <c r="B313" s="23" t="s">
        <v>390</v>
      </c>
      <c r="C313" s="232"/>
      <c r="D313" s="232"/>
    </row>
    <row r="314" spans="1:5" x14ac:dyDescent="0.2">
      <c r="A314" s="155"/>
      <c r="B314" s="156" t="s">
        <v>0</v>
      </c>
      <c r="C314" s="106" t="s">
        <v>168</v>
      </c>
      <c r="D314" s="106" t="s">
        <v>169</v>
      </c>
    </row>
    <row r="315" spans="1:5" x14ac:dyDescent="0.2">
      <c r="A315" s="248">
        <v>263505</v>
      </c>
      <c r="B315" s="156" t="s">
        <v>25</v>
      </c>
      <c r="C315" s="233"/>
      <c r="D315" s="233">
        <f>+ROUND((Pasivos!D69-Pasivos!D26),0)</f>
        <v>1353091</v>
      </c>
    </row>
    <row r="316" spans="1:5" x14ac:dyDescent="0.2">
      <c r="A316" s="248">
        <v>530521</v>
      </c>
      <c r="B316" s="156" t="s">
        <v>392</v>
      </c>
      <c r="C316" s="233">
        <f>+ROUND((Pasivos!H90),0)</f>
        <v>14858661</v>
      </c>
      <c r="D316" s="233"/>
      <c r="E316" s="229" t="s">
        <v>1112</v>
      </c>
    </row>
    <row r="317" spans="1:5" x14ac:dyDescent="0.2">
      <c r="A317" s="248">
        <v>539505</v>
      </c>
      <c r="B317" s="156" t="s">
        <v>283</v>
      </c>
      <c r="C317" s="233"/>
      <c r="D317" s="233">
        <f>+C316-D315</f>
        <v>13505570</v>
      </c>
      <c r="E317" s="229" t="s">
        <v>393</v>
      </c>
    </row>
    <row r="318" spans="1:5" x14ac:dyDescent="0.2">
      <c r="C318" s="107">
        <f>SUM(C315:C317)</f>
        <v>14858661</v>
      </c>
      <c r="D318" s="107">
        <f>SUM(D315:D317)</f>
        <v>14858661</v>
      </c>
    </row>
    <row r="325" spans="1:4" x14ac:dyDescent="0.2">
      <c r="A325" s="231"/>
      <c r="B325" s="23" t="s">
        <v>394</v>
      </c>
      <c r="C325" s="232"/>
      <c r="D325" s="232"/>
    </row>
    <row r="326" spans="1:4" x14ac:dyDescent="0.2">
      <c r="A326" s="155"/>
      <c r="B326" s="156" t="s">
        <v>0</v>
      </c>
      <c r="C326" s="106" t="s">
        <v>168</v>
      </c>
      <c r="D326" s="106" t="s">
        <v>169</v>
      </c>
    </row>
    <row r="327" spans="1:4" x14ac:dyDescent="0.2">
      <c r="A327" s="248">
        <v>192097</v>
      </c>
      <c r="B327" s="156" t="s">
        <v>1094</v>
      </c>
      <c r="C327" s="233">
        <f>+PPYE!F39-PPYE!F9</f>
        <v>250000000</v>
      </c>
      <c r="D327" s="233"/>
    </row>
    <row r="328" spans="1:4" x14ac:dyDescent="0.2">
      <c r="A328" s="248">
        <v>192097</v>
      </c>
      <c r="B328" s="156" t="s">
        <v>1094</v>
      </c>
      <c r="C328" s="233">
        <f>+PPYE!F40-PPYE!E40</f>
        <v>45000000</v>
      </c>
      <c r="D328" s="233"/>
    </row>
    <row r="329" spans="1:4" x14ac:dyDescent="0.2">
      <c r="A329" s="248">
        <v>431005</v>
      </c>
      <c r="B329" s="156" t="s">
        <v>182</v>
      </c>
      <c r="C329" s="233"/>
      <c r="D329" s="233">
        <f>+C327+C328</f>
        <v>295000000</v>
      </c>
    </row>
    <row r="334" spans="1:4" x14ac:dyDescent="0.2">
      <c r="A334" s="231"/>
      <c r="B334" s="23" t="s">
        <v>395</v>
      </c>
      <c r="C334" s="232"/>
      <c r="D334" s="232"/>
    </row>
    <row r="335" spans="1:4" x14ac:dyDescent="0.2">
      <c r="A335" s="155"/>
      <c r="B335" s="156" t="s">
        <v>0</v>
      </c>
      <c r="C335" s="106" t="s">
        <v>168</v>
      </c>
      <c r="D335" s="106" t="s">
        <v>169</v>
      </c>
    </row>
    <row r="336" spans="1:4" x14ac:dyDescent="0.2">
      <c r="A336" s="248">
        <v>271095</v>
      </c>
      <c r="B336" s="156" t="s">
        <v>62</v>
      </c>
      <c r="C336" s="233"/>
      <c r="D336" s="233">
        <f>-'Imp diferidos'!F154+'Imp diferidos'!F73</f>
        <v>290144790.59369111</v>
      </c>
    </row>
    <row r="337" spans="1:4" x14ac:dyDescent="0.2">
      <c r="A337" s="248">
        <v>540510</v>
      </c>
      <c r="B337" s="156" t="s">
        <v>192</v>
      </c>
      <c r="C337" s="233">
        <f>+D336</f>
        <v>290144790.59369111</v>
      </c>
      <c r="D337" s="233"/>
    </row>
    <row r="341" spans="1:4" x14ac:dyDescent="0.2">
      <c r="A341" s="231"/>
      <c r="B341" s="23" t="s">
        <v>1114</v>
      </c>
      <c r="C341" s="232"/>
      <c r="D341" s="232"/>
    </row>
    <row r="342" spans="1:4" x14ac:dyDescent="0.2">
      <c r="A342" s="155"/>
      <c r="B342" s="156" t="s">
        <v>0</v>
      </c>
      <c r="C342" s="106" t="s">
        <v>168</v>
      </c>
      <c r="D342" s="106" t="s">
        <v>169</v>
      </c>
    </row>
    <row r="343" spans="1:4" x14ac:dyDescent="0.2">
      <c r="A343" s="248">
        <v>799999</v>
      </c>
      <c r="B343" s="156" t="s">
        <v>224</v>
      </c>
      <c r="C343" s="233"/>
      <c r="D343" s="233">
        <f>Inventarios!C112-(C106-D106)</f>
        <v>19301592532</v>
      </c>
    </row>
    <row r="344" spans="1:4" x14ac:dyDescent="0.2">
      <c r="A344" s="248">
        <v>612005</v>
      </c>
      <c r="B344" s="156" t="s">
        <v>281</v>
      </c>
      <c r="C344" s="233">
        <f>+D343</f>
        <v>19301592532</v>
      </c>
      <c r="D344" s="233"/>
    </row>
  </sheetData>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150"/>
  <sheetViews>
    <sheetView showGridLines="0" zoomScaleNormal="100" workbookViewId="0">
      <pane xSplit="2" ySplit="5" topLeftCell="C24" activePane="bottomRight" state="frozen"/>
      <selection pane="topRight" activeCell="B1" sqref="B1"/>
      <selection pane="bottomLeft" activeCell="A4" sqref="A4"/>
      <selection pane="bottomRight" activeCell="D8" sqref="D8"/>
    </sheetView>
  </sheetViews>
  <sheetFormatPr baseColWidth="10" defaultRowHeight="12.75" x14ac:dyDescent="0.2"/>
  <cols>
    <col min="1" max="1" width="11.42578125" style="95"/>
    <col min="2" max="2" width="41.42578125" style="95" customWidth="1"/>
    <col min="3" max="3" width="21.42578125" style="207" customWidth="1"/>
    <col min="4" max="5" width="21.42578125" style="112" customWidth="1"/>
    <col min="6" max="6" width="21.42578125" style="213" customWidth="1"/>
    <col min="7" max="7" width="18.28515625" style="95" bestFit="1" customWidth="1"/>
    <col min="8" max="16384" width="11.42578125" style="95"/>
  </cols>
  <sheetData>
    <row r="1" spans="1:6" s="198" customFormat="1" x14ac:dyDescent="0.2">
      <c r="B1" s="199"/>
      <c r="C1" s="200"/>
      <c r="D1" s="200"/>
      <c r="E1" s="200"/>
      <c r="F1" s="200"/>
    </row>
    <row r="2" spans="1:6" s="52" customFormat="1" x14ac:dyDescent="0.2">
      <c r="B2" s="33" t="str">
        <f>+'BP 010120x1'!B2</f>
        <v>Empresa LVG SAS</v>
      </c>
      <c r="C2" s="201"/>
      <c r="D2" s="202"/>
      <c r="E2" s="201" t="s">
        <v>91</v>
      </c>
      <c r="F2" s="103" t="s">
        <v>73</v>
      </c>
    </row>
    <row r="3" spans="1:6" s="52" customFormat="1" x14ac:dyDescent="0.2">
      <c r="B3" s="33" t="s">
        <v>2139</v>
      </c>
      <c r="C3" s="201"/>
      <c r="D3" s="202"/>
      <c r="E3" s="201"/>
      <c r="F3" s="103"/>
    </row>
    <row r="4" spans="1:6" s="52" customFormat="1" x14ac:dyDescent="0.2">
      <c r="B4" s="33" t="s">
        <v>58</v>
      </c>
      <c r="C4" s="201"/>
      <c r="D4" s="201"/>
      <c r="E4" s="201"/>
      <c r="F4" s="201"/>
    </row>
    <row r="5" spans="1:6" x14ac:dyDescent="0.2">
      <c r="A5" s="203" t="s">
        <v>1013</v>
      </c>
      <c r="B5" s="204"/>
      <c r="C5" s="205" t="s">
        <v>289</v>
      </c>
      <c r="D5" s="205" t="s">
        <v>168</v>
      </c>
      <c r="E5" s="205" t="s">
        <v>169</v>
      </c>
      <c r="F5" s="206" t="s">
        <v>2137</v>
      </c>
    </row>
    <row r="6" spans="1:6" x14ac:dyDescent="0.2">
      <c r="D6" s="207"/>
      <c r="E6" s="207"/>
      <c r="F6" s="207"/>
    </row>
    <row r="7" spans="1:6" x14ac:dyDescent="0.2">
      <c r="A7" s="208">
        <f>+'BP 010120x1'!A6</f>
        <v>111005</v>
      </c>
      <c r="B7" s="208" t="str">
        <f>+'BP 010120x1'!B6</f>
        <v>Cuenta cte. Bancolombia</v>
      </c>
      <c r="C7" s="209">
        <f>+'BP 010120x1'!C6</f>
        <v>1242835000</v>
      </c>
      <c r="D7" s="209">
        <f>+SUMIF('Diario 20x2'!A:A,'BP 311220x2'!A7,'Diario 20x2'!C:C)</f>
        <v>30386115126</v>
      </c>
      <c r="E7" s="209">
        <f>+SUMIF('Diario 20x2'!A:A,'BP 311220x2'!A7,'Diario 20x2'!D:D)</f>
        <v>27886897384</v>
      </c>
      <c r="F7" s="209">
        <f>+C7+D7-E7</f>
        <v>3742052742</v>
      </c>
    </row>
    <row r="8" spans="1:6" x14ac:dyDescent="0.2">
      <c r="A8" s="208">
        <f>+'BP 010120x1'!A7</f>
        <v>111010</v>
      </c>
      <c r="B8" s="208" t="str">
        <f>+'BP 010120x1'!B7</f>
        <v xml:space="preserve">Cta Banco Miami </v>
      </c>
      <c r="C8" s="209">
        <f>+'BP 010120x1'!C7</f>
        <v>36520000</v>
      </c>
      <c r="D8" s="209">
        <f>+SUMIF('Diario 20x2'!A:A,'BP 311220x2'!A8,'Diario 20x2'!C:C)</f>
        <v>12653000</v>
      </c>
      <c r="E8" s="209">
        <f>+SUMIF('Diario 20x2'!A:A,'BP 311220x2'!A8,'Diario 20x2'!D:D)</f>
        <v>0</v>
      </c>
      <c r="F8" s="209">
        <f t="shared" ref="F8:F51" si="0">+C8+D8-E8</f>
        <v>49173000</v>
      </c>
    </row>
    <row r="9" spans="1:6" x14ac:dyDescent="0.2">
      <c r="A9" s="208">
        <f>+'BP 010120x1'!A8</f>
        <v>124505</v>
      </c>
      <c r="B9" s="208" t="str">
        <f>+'BP 010120x1'!B8</f>
        <v>Carteras colectivas</v>
      </c>
      <c r="C9" s="209">
        <f>+'BP 010120x1'!C8</f>
        <v>123567000</v>
      </c>
      <c r="D9" s="209">
        <f>+SUMIF('Diario 20x2'!A:A,'BP 311220x2'!A9,'Diario 20x2'!C:C)</f>
        <v>3625000</v>
      </c>
      <c r="E9" s="209">
        <f>+SUMIF('Diario 20x2'!A:A,'BP 311220x2'!A9,'Diario 20x2'!D:D)</f>
        <v>0</v>
      </c>
      <c r="F9" s="209">
        <f t="shared" si="0"/>
        <v>127192000</v>
      </c>
    </row>
    <row r="10" spans="1:6" x14ac:dyDescent="0.2">
      <c r="A10" s="208">
        <f>+'BP 010120x1'!A9</f>
        <v>111006</v>
      </c>
      <c r="B10" s="208" t="str">
        <f>+'BP 010120x1'!B9</f>
        <v>Cuenta cte. Banco Bogotá</v>
      </c>
      <c r="C10" s="209">
        <f>+'BP 010120x1'!C9</f>
        <v>112563000</v>
      </c>
      <c r="D10" s="209">
        <f>+SUMIF('Diario 20x2'!A:A,'BP 311220x2'!A10,'Diario 20x2'!C:C)</f>
        <v>0</v>
      </c>
      <c r="E10" s="209">
        <f>+SUMIF('Diario 20x2'!A:A,'BP 311220x2'!A10,'Diario 20x2'!D:D)</f>
        <v>0</v>
      </c>
      <c r="F10" s="209">
        <f t="shared" si="0"/>
        <v>112563000</v>
      </c>
    </row>
    <row r="11" spans="1:6" x14ac:dyDescent="0.2">
      <c r="A11" s="208">
        <f>+'BP 010120x1'!A10</f>
        <v>120550</v>
      </c>
      <c r="B11" s="208" t="str">
        <f>+'BP 010120x1'!B10</f>
        <v>Grupo Aval- preferencial (0.0094%)</v>
      </c>
      <c r="C11" s="209">
        <f>+'BP 010120x1'!C10</f>
        <v>325052000</v>
      </c>
      <c r="D11" s="209">
        <f>+SUMIF('Diario 20x2'!A:A,'BP 311220x2'!A11,'Diario 20x2'!C:C)</f>
        <v>0</v>
      </c>
      <c r="E11" s="209">
        <f>+SUMIF('Diario 20x2'!A:A,'BP 311220x2'!A11,'Diario 20x2'!D:D)</f>
        <v>0</v>
      </c>
      <c r="F11" s="209">
        <f t="shared" si="0"/>
        <v>325052000</v>
      </c>
    </row>
    <row r="12" spans="1:6" x14ac:dyDescent="0.2">
      <c r="A12" s="208">
        <f>+'BP 010120x1'!A11</f>
        <v>120551</v>
      </c>
      <c r="B12" s="208" t="str">
        <f>+'BP 010120x1'!B11</f>
        <v>Grupo aval - ajustes al VR</v>
      </c>
      <c r="C12" s="209">
        <f>+'BP 010120x1'!C11</f>
        <v>124015920</v>
      </c>
      <c r="D12" s="209">
        <f>+SUMIF('Diario 20x2'!A:A,'BP 311220x2'!A12,'Diario 20x2'!C:C)</f>
        <v>15665160</v>
      </c>
      <c r="E12" s="209">
        <f>+SUMIF('Diario 20x2'!A:A,'BP 311220x2'!A12,'Diario 20x2'!D:D)</f>
        <v>0</v>
      </c>
      <c r="F12" s="209">
        <f t="shared" ref="F12" si="1">+C12+D12-E12</f>
        <v>139681080</v>
      </c>
    </row>
    <row r="13" spans="1:6" x14ac:dyDescent="0.2">
      <c r="A13" s="208">
        <v>120520</v>
      </c>
      <c r="B13" s="208" t="s">
        <v>287</v>
      </c>
      <c r="C13" s="209">
        <v>0</v>
      </c>
      <c r="D13" s="209">
        <f>+SUMIF('Diario 20x2'!A:A,'BP 311220x2'!A13,'Diario 20x2'!C:C)</f>
        <v>650000000</v>
      </c>
      <c r="E13" s="209">
        <f>+SUMIF('Diario 20x2'!A:A,'BP 311220x2'!A13,'Diario 20x2'!D:D)</f>
        <v>0</v>
      </c>
      <c r="F13" s="209">
        <f t="shared" si="0"/>
        <v>650000000</v>
      </c>
    </row>
    <row r="14" spans="1:6" x14ac:dyDescent="0.2">
      <c r="A14" s="248">
        <v>120521</v>
      </c>
      <c r="B14" s="208" t="s">
        <v>1051</v>
      </c>
      <c r="C14" s="209">
        <v>0</v>
      </c>
      <c r="D14" s="209">
        <f>+SUMIF('Diario 20x2'!A:A,'BP 311220x2'!A14,'Diario 20x2'!C:C)</f>
        <v>348214900</v>
      </c>
      <c r="E14" s="209">
        <f>+SUMIF('Diario 20x2'!A:A,'BP 311220x2'!A14,'Diario 20x2'!D:D)</f>
        <v>0</v>
      </c>
      <c r="F14" s="209">
        <f t="shared" ref="F14" si="2">+C14+D14-E14</f>
        <v>348214900</v>
      </c>
    </row>
    <row r="15" spans="1:6" x14ac:dyDescent="0.2">
      <c r="A15" s="208">
        <f>+'BP 010120x1'!A12</f>
        <v>120530</v>
      </c>
      <c r="B15" s="208" t="str">
        <f>+'BP 010120x1'!B12</f>
        <v>Construcciones Lvg SAS (40%)</v>
      </c>
      <c r="C15" s="209">
        <f>+'BP 010120x1'!C12</f>
        <v>1806700000</v>
      </c>
      <c r="D15" s="209">
        <f>+SUMIF('Diario 20x2'!A:A,'BP 311220x2'!A15,'Diario 20x2'!C:C)</f>
        <v>0</v>
      </c>
      <c r="E15" s="209">
        <f>+SUMIF('Diario 20x2'!A:A,'BP 311220x2'!A15,'Diario 20x2'!D:D)</f>
        <v>0</v>
      </c>
      <c r="F15" s="209">
        <f t="shared" si="0"/>
        <v>1806700000</v>
      </c>
    </row>
    <row r="16" spans="1:6" x14ac:dyDescent="0.2">
      <c r="A16" s="208">
        <f>+'BP 010120x1'!A13</f>
        <v>122505</v>
      </c>
      <c r="B16" s="208" t="str">
        <f>+'BP 010120x1'!B13</f>
        <v>Inversiones en CDT</v>
      </c>
      <c r="C16" s="209">
        <f>+'BP 010120x1'!C13</f>
        <v>1200000000</v>
      </c>
      <c r="D16" s="209">
        <f>+SUMIF('Diario 20x2'!A:A,'BP 311220x2'!A16,'Diario 20x2'!C:C)</f>
        <v>0</v>
      </c>
      <c r="E16" s="209">
        <f>+SUMIF('Diario 20x2'!A:A,'BP 311220x2'!A16,'Diario 20x2'!D:D)</f>
        <v>0</v>
      </c>
      <c r="F16" s="209">
        <f t="shared" si="0"/>
        <v>1200000000</v>
      </c>
    </row>
    <row r="17" spans="1:7" x14ac:dyDescent="0.2">
      <c r="A17" s="208">
        <f>+'BP 010120x1'!A14</f>
        <v>129505</v>
      </c>
      <c r="B17" s="208" t="str">
        <f>+'BP 010120x1'!B14</f>
        <v>Derivados financieros</v>
      </c>
      <c r="C17" s="209">
        <f>+'BP 010120x1'!C14</f>
        <v>78891000</v>
      </c>
      <c r="D17" s="209">
        <f>+SUMIF('Diario 20x2'!A:A,'BP 311220x2'!A17,'Diario 20x2'!C:C)</f>
        <v>68160000</v>
      </c>
      <c r="E17" s="209">
        <f>+SUMIF('Diario 20x2'!A:A,'BP 311220x2'!A17,'Diario 20x2'!D:D)</f>
        <v>0</v>
      </c>
      <c r="F17" s="209">
        <f t="shared" si="0"/>
        <v>147051000</v>
      </c>
    </row>
    <row r="18" spans="1:7" x14ac:dyDescent="0.2">
      <c r="A18" s="208">
        <f>+'BP 010120x1'!A15</f>
        <v>130505</v>
      </c>
      <c r="B18" s="208" t="str">
        <f>+'BP 010120x1'!B15</f>
        <v>Cuentas por cobrar clientes</v>
      </c>
      <c r="C18" s="209">
        <f>+'BP 010120x1'!C15</f>
        <v>1148431282</v>
      </c>
      <c r="D18" s="209">
        <f>+SUMIF('Diario 20x2'!A:A,'BP 311220x2'!A18,'Diario 20x2'!C:C)</f>
        <v>1257851000</v>
      </c>
      <c r="E18" s="209">
        <f>+SUMIF('Diario 20x2'!A:A,'BP 311220x2'!A18,'Diario 20x2'!D:D)</f>
        <v>654811126</v>
      </c>
      <c r="F18" s="209">
        <f t="shared" si="0"/>
        <v>1751471156</v>
      </c>
    </row>
    <row r="19" spans="1:7" x14ac:dyDescent="0.2">
      <c r="A19" s="208">
        <f>+'BP 010120x1'!A16</f>
        <v>132005</v>
      </c>
      <c r="B19" s="208" t="str">
        <f>+'BP 010120x1'!B16</f>
        <v>Préstamos a asociadas</v>
      </c>
      <c r="C19" s="209">
        <f>+'BP 010120x1'!C16</f>
        <v>45000000</v>
      </c>
      <c r="D19" s="209">
        <f>+SUMIF('Diario 20x2'!A:A,'BP 311220x2'!A19,'Diario 20x2'!C:C)</f>
        <v>0</v>
      </c>
      <c r="E19" s="209">
        <f>+SUMIF('Diario 20x2'!A:A,'BP 311220x2'!A19,'Diario 20x2'!D:D)</f>
        <v>0</v>
      </c>
      <c r="F19" s="209">
        <f t="shared" si="0"/>
        <v>45000000</v>
      </c>
    </row>
    <row r="20" spans="1:7" x14ac:dyDescent="0.2">
      <c r="A20" s="208">
        <f>+'BP 010120x1'!A17</f>
        <v>133015</v>
      </c>
      <c r="B20" s="208" t="str">
        <f>+'BP 010120x1'!B17</f>
        <v xml:space="preserve">Avances para gastos de viaje </v>
      </c>
      <c r="C20" s="209">
        <f>+'BP 010120x1'!C17</f>
        <v>12500000</v>
      </c>
      <c r="D20" s="209">
        <f>+SUMIF('Diario 20x2'!A:A,'BP 311220x2'!A20,'Diario 20x2'!C:C)</f>
        <v>3150000</v>
      </c>
      <c r="E20" s="209">
        <f>+SUMIF('Diario 20x2'!A:A,'BP 311220x2'!A20,'Diario 20x2'!D:D)</f>
        <v>12500000</v>
      </c>
      <c r="F20" s="209">
        <f t="shared" si="0"/>
        <v>3150000</v>
      </c>
    </row>
    <row r="21" spans="1:7" x14ac:dyDescent="0.2">
      <c r="A21" s="208">
        <f>+'BP 010120x1'!A18</f>
        <v>135520</v>
      </c>
      <c r="B21" s="208" t="str">
        <f>+'BP 010120x1'!B18</f>
        <v>Saldo a favor IVA</v>
      </c>
      <c r="C21" s="209">
        <f>+'BP 010120x1'!C18</f>
        <v>23526000</v>
      </c>
      <c r="D21" s="209">
        <f>+SUMIF('Diario 20x2'!A:A,'BP 311220x2'!A21,'Diario 20x2'!C:C)</f>
        <v>0</v>
      </c>
      <c r="E21" s="209">
        <f>+SUMIF('Diario 20x2'!A:A,'BP 311220x2'!A21,'Diario 20x2'!D:D)</f>
        <v>23526000</v>
      </c>
      <c r="F21" s="209">
        <f t="shared" si="0"/>
        <v>0</v>
      </c>
    </row>
    <row r="22" spans="1:7" x14ac:dyDescent="0.2">
      <c r="A22" s="208">
        <v>135515</v>
      </c>
      <c r="B22" s="208" t="s">
        <v>301</v>
      </c>
      <c r="C22" s="209">
        <v>0</v>
      </c>
      <c r="D22" s="209">
        <f>+SUMIF('Diario 20x2'!A:A,'BP 311220x2'!A22,'Diario 20x2'!C:C)</f>
        <v>678090000</v>
      </c>
      <c r="E22" s="209">
        <f>+SUMIF('Diario 20x2'!A:A,'BP 311220x2'!A22,'Diario 20x2'!D:D)</f>
        <v>678090000</v>
      </c>
      <c r="F22" s="209">
        <f>+C22+D22-E22</f>
        <v>0</v>
      </c>
    </row>
    <row r="23" spans="1:7" x14ac:dyDescent="0.2">
      <c r="A23" s="208">
        <f>+'BP 010120x1'!A19</f>
        <v>136510</v>
      </c>
      <c r="B23" s="208" t="str">
        <f>+'BP 010120x1'!B19</f>
        <v>Prestamos gerente</v>
      </c>
      <c r="C23" s="209">
        <f>+'BP 010120x1'!C19</f>
        <v>72000000</v>
      </c>
      <c r="D23" s="209">
        <f>+SUMIF('Diario 20x2'!A:A,'BP 311220x2'!A23,'Diario 20x2'!C:C)</f>
        <v>0</v>
      </c>
      <c r="E23" s="209">
        <f>+SUMIF('Diario 20x2'!A:A,'BP 311220x2'!A23,'Diario 20x2'!D:D)</f>
        <v>4500000</v>
      </c>
      <c r="F23" s="209">
        <f t="shared" si="0"/>
        <v>67500000</v>
      </c>
    </row>
    <row r="24" spans="1:7" x14ac:dyDescent="0.2">
      <c r="A24" s="208">
        <f>+'BP 010120x1'!A20</f>
        <v>139905</v>
      </c>
      <c r="B24" s="208" t="str">
        <f>+'BP 010120x1'!B20</f>
        <v>Provisión- C x Cobrar fiscal</v>
      </c>
      <c r="C24" s="209">
        <f>+'BP 010120x1'!C20</f>
        <v>-299010668.22000003</v>
      </c>
      <c r="D24" s="209">
        <f>+SUMIF('Diario 20x2'!A:A,'BP 311220x2'!A24,'Diario 20x2'!C:C)</f>
        <v>0</v>
      </c>
      <c r="E24" s="209">
        <f>+SUMIF('Diario 20x2'!A:A,'BP 311220x2'!A24,'Diario 20x2'!D:D)</f>
        <v>157822676.41999996</v>
      </c>
      <c r="F24" s="209">
        <f t="shared" si="0"/>
        <v>-456833344.63999999</v>
      </c>
    </row>
    <row r="25" spans="1:7" x14ac:dyDescent="0.2">
      <c r="A25" s="208">
        <f>+'BP 010120x1'!A21</f>
        <v>139906</v>
      </c>
      <c r="B25" s="208" t="str">
        <f>+'BP 010120x1'!B21</f>
        <v>Deterioro CXC - ajuste a NIIF</v>
      </c>
      <c r="C25" s="209">
        <f>+'BP 010120x1'!C21</f>
        <v>-121687829.77999997</v>
      </c>
      <c r="D25" s="209">
        <f>+SUMIF('Diario 20x2'!A:A,'BP 311220x2'!A25,'Diario 20x2'!C:C)</f>
        <v>168819462.41999996</v>
      </c>
      <c r="E25" s="209">
        <f>+SUMIF('Diario 20x2'!A:A,'BP 311220x2'!A25,'Diario 20x2'!D:D)</f>
        <v>0</v>
      </c>
      <c r="F25" s="209">
        <f t="shared" ref="F25" si="3">+C25+D25-E25</f>
        <v>47131632.639999986</v>
      </c>
      <c r="G25" s="182"/>
    </row>
    <row r="26" spans="1:7" x14ac:dyDescent="0.2">
      <c r="A26" s="208">
        <f>+'BP 010120x1'!A22</f>
        <v>140501</v>
      </c>
      <c r="B26" s="208" t="str">
        <f>+'BP 010120x1'!B22</f>
        <v>Materia prima</v>
      </c>
      <c r="C26" s="209">
        <f>+'BP 010120x1'!C22</f>
        <v>652890000</v>
      </c>
      <c r="D26" s="209">
        <f>+SUMIF('Diario 20x2'!A:A,'BP 311220x2'!A26,'Diario 20x2'!C:C)</f>
        <v>579150000</v>
      </c>
      <c r="E26" s="209">
        <f>+SUMIF('Diario 20x2'!A:A,'BP 311220x2'!A26,'Diario 20x2'!D:D)</f>
        <v>652890000</v>
      </c>
      <c r="F26" s="209">
        <f t="shared" si="0"/>
        <v>579150000</v>
      </c>
    </row>
    <row r="27" spans="1:7" x14ac:dyDescent="0.2">
      <c r="A27" s="208">
        <f>+'BP 010120x1'!A23</f>
        <v>143005</v>
      </c>
      <c r="B27" s="208" t="str">
        <f>+'BP 010120x1'!B23</f>
        <v>Productos terminados</v>
      </c>
      <c r="C27" s="209">
        <f>+'BP 010120x1'!C23</f>
        <v>579550000</v>
      </c>
      <c r="D27" s="209">
        <f>+SUMIF('Diario 20x2'!A:A,'BP 311220x2'!A27,'Diario 20x2'!C:C)</f>
        <v>572030000</v>
      </c>
      <c r="E27" s="209">
        <f>+SUMIF('Diario 20x2'!A:A,'BP 311220x2'!A27,'Diario 20x2'!D:D)</f>
        <v>579550000</v>
      </c>
      <c r="F27" s="209">
        <f t="shared" si="0"/>
        <v>572030000</v>
      </c>
      <c r="G27" s="182"/>
    </row>
    <row r="28" spans="1:7" x14ac:dyDescent="0.2">
      <c r="A28" s="208">
        <f>+'BP 010120x1'!A24</f>
        <v>144505</v>
      </c>
      <c r="B28" s="208" t="str">
        <f>+'BP 010120x1'!B24</f>
        <v>Activo biológico- costo</v>
      </c>
      <c r="C28" s="209">
        <f>+'BP 010120x1'!C24</f>
        <v>900326748</v>
      </c>
      <c r="D28" s="209">
        <f>+SUMIF('Diario 20x2'!A:A,'BP 311220x2'!A28,'Diario 20x2'!C:C)</f>
        <v>800000000</v>
      </c>
      <c r="E28" s="209">
        <f>+SUMIF('Diario 20x2'!A:A,'BP 311220x2'!A28,'Diario 20x2'!D:D)</f>
        <v>269000000</v>
      </c>
      <c r="F28" s="209">
        <f t="shared" si="0"/>
        <v>1431326748</v>
      </c>
    </row>
    <row r="29" spans="1:7" x14ac:dyDescent="0.2">
      <c r="A29" s="208">
        <f>+'BP 010120x1'!A25</f>
        <v>144597</v>
      </c>
      <c r="B29" s="208" t="str">
        <f>+'BP 010120x1'!B25</f>
        <v>Activo biológico- ajuste al valor razonable</v>
      </c>
      <c r="C29" s="209">
        <f>+'BP 010120x1'!C25</f>
        <v>186379252</v>
      </c>
      <c r="D29" s="209">
        <f>+SUMIF('Diario 20x2'!A:A,'BP 311220x2'!A29,'Diario 20x2'!C:C)</f>
        <v>81294000</v>
      </c>
      <c r="E29" s="209">
        <f>+SUMIF('Diario 20x2'!A:A,'BP 311220x2'!A29,'Diario 20x2'!D:D)</f>
        <v>0</v>
      </c>
      <c r="F29" s="209">
        <f t="shared" ref="F29" si="4">+C29+D29-E29</f>
        <v>267673252</v>
      </c>
    </row>
    <row r="30" spans="1:7" x14ac:dyDescent="0.2">
      <c r="A30" s="208">
        <f>+'BP 010120x1'!A26</f>
        <v>149905</v>
      </c>
      <c r="B30" s="208" t="str">
        <f>+'BP 010120x1'!B26</f>
        <v>Deterioro de inventarios</v>
      </c>
      <c r="C30" s="209">
        <f>+'BP 010120x1'!C26</f>
        <v>-14800000</v>
      </c>
      <c r="D30" s="209">
        <f>+SUMIF('Diario 20x2'!A:A,'BP 311220x2'!A30,'Diario 20x2'!C:C)</f>
        <v>0</v>
      </c>
      <c r="E30" s="209">
        <f>+SUMIF('Diario 20x2'!A:A,'BP 311220x2'!A30,'Diario 20x2'!D:D)</f>
        <v>10550000</v>
      </c>
      <c r="F30" s="209">
        <f t="shared" si="0"/>
        <v>-25350000</v>
      </c>
    </row>
    <row r="31" spans="1:7" x14ac:dyDescent="0.2">
      <c r="A31" s="208">
        <f>+'BP 010120x1'!A27</f>
        <v>150405</v>
      </c>
      <c r="B31" s="208" t="str">
        <f>+'BP 010120x1'!B27</f>
        <v>Terreno 1- Producción</v>
      </c>
      <c r="C31" s="209">
        <f>+'BP 010120x1'!C27</f>
        <v>650000000</v>
      </c>
      <c r="D31" s="209">
        <f>+SUMIF('Diario 20x2'!A:A,'BP 311220x2'!A31,'Diario 20x2'!C:C)</f>
        <v>0</v>
      </c>
      <c r="E31" s="209">
        <f>+SUMIF('Diario 20x2'!A:A,'BP 311220x2'!A31,'Diario 20x2'!D:D)</f>
        <v>0</v>
      </c>
      <c r="F31" s="209">
        <f t="shared" si="0"/>
        <v>650000000</v>
      </c>
    </row>
    <row r="32" spans="1:7" x14ac:dyDescent="0.2">
      <c r="A32" s="208">
        <f>+'BP 010120x1'!A28</f>
        <v>150407</v>
      </c>
      <c r="B32" s="208" t="str">
        <f>+'BP 010120x1'!B28</f>
        <v>Terreno, parqueadero</v>
      </c>
      <c r="C32" s="209">
        <f>+'BP 010120x1'!C28</f>
        <v>550000000</v>
      </c>
      <c r="D32" s="209">
        <f>+SUMIF('Diario 20x2'!A:A,'BP 311220x2'!A32,'Diario 20x2'!C:C)</f>
        <v>0</v>
      </c>
      <c r="E32" s="209">
        <f>+SUMIF('Diario 20x2'!A:A,'BP 311220x2'!A32,'Diario 20x2'!D:D)</f>
        <v>0</v>
      </c>
      <c r="F32" s="209">
        <f t="shared" si="0"/>
        <v>550000000</v>
      </c>
    </row>
    <row r="33" spans="1:6" x14ac:dyDescent="0.2">
      <c r="A33" s="208">
        <f>+'BP 010120x1'!A29</f>
        <v>150497</v>
      </c>
      <c r="B33" s="208" t="str">
        <f>+'BP 010120x1'!B29</f>
        <v>Terrenos ajustes NIIF</v>
      </c>
      <c r="C33" s="209">
        <f>+'BP 010120x1'!C29</f>
        <v>1450000000</v>
      </c>
      <c r="D33" s="209">
        <f>+SUMIF('Diario 20x2'!A:A,'BP 311220x2'!A33,'Diario 20x2'!C:C)</f>
        <v>0</v>
      </c>
      <c r="E33" s="209">
        <f>+SUMIF('Diario 20x2'!A:A,'BP 311220x2'!A33,'Diario 20x2'!D:D)</f>
        <v>0</v>
      </c>
      <c r="F33" s="209">
        <f>+C33+D33-E33</f>
        <v>1450000000</v>
      </c>
    </row>
    <row r="34" spans="1:6" x14ac:dyDescent="0.2">
      <c r="A34" s="208">
        <f>+'BP 010120x1'!A30</f>
        <v>151605</v>
      </c>
      <c r="B34" s="208" t="str">
        <f>+'BP 010120x1'!B30</f>
        <v xml:space="preserve">Edificación </v>
      </c>
      <c r="C34" s="209">
        <f>+'BP 010120x1'!C30</f>
        <v>2445000000</v>
      </c>
      <c r="D34" s="209">
        <f>+SUMIF('Diario 20x2'!A:A,'BP 311220x2'!A34,'Diario 20x2'!C:C)</f>
        <v>0</v>
      </c>
      <c r="E34" s="209">
        <f>+SUMIF('Diario 20x2'!A:A,'BP 311220x2'!A34,'Diario 20x2'!D:D)</f>
        <v>0</v>
      </c>
      <c r="F34" s="209">
        <f t="shared" si="0"/>
        <v>2445000000</v>
      </c>
    </row>
    <row r="35" spans="1:6" x14ac:dyDescent="0.2">
      <c r="A35" s="208">
        <f>+'BP 010120x1'!A31</f>
        <v>152005</v>
      </c>
      <c r="B35" s="208" t="str">
        <f>+'BP 010120x1'!B31</f>
        <v xml:space="preserve">Maquina </v>
      </c>
      <c r="C35" s="209">
        <f>+'BP 010120x1'!C31</f>
        <v>825265324</v>
      </c>
      <c r="D35" s="209">
        <f>+SUMIF('Diario 20x2'!A:A,'BP 311220x2'!A35,'Diario 20x2'!C:C)</f>
        <v>0</v>
      </c>
      <c r="E35" s="209">
        <f>+SUMIF('Diario 20x2'!A:A,'BP 311220x2'!A35,'Diario 20x2'!D:D)</f>
        <v>0</v>
      </c>
      <c r="F35" s="209">
        <f t="shared" si="0"/>
        <v>825265324</v>
      </c>
    </row>
    <row r="36" spans="1:6" x14ac:dyDescent="0.2">
      <c r="A36" s="208">
        <f>+'BP 010120x1'!A32</f>
        <v>152405</v>
      </c>
      <c r="B36" s="208" t="str">
        <f>+'BP 010120x1'!B32</f>
        <v>Muebles y enseres</v>
      </c>
      <c r="C36" s="209">
        <f>+'BP 010120x1'!C32</f>
        <v>435050949</v>
      </c>
      <c r="D36" s="209">
        <f>+SUMIF('Diario 20x2'!A:A,'BP 311220x2'!A36,'Diario 20x2'!C:C)</f>
        <v>0</v>
      </c>
      <c r="E36" s="209">
        <f>+SUMIF('Diario 20x2'!A:A,'BP 311220x2'!A36,'Diario 20x2'!D:D)</f>
        <v>0</v>
      </c>
      <c r="F36" s="209">
        <f t="shared" si="0"/>
        <v>435050949</v>
      </c>
    </row>
    <row r="37" spans="1:6" x14ac:dyDescent="0.2">
      <c r="A37" s="208">
        <f>+'BP 010120x1'!A33</f>
        <v>154010</v>
      </c>
      <c r="B37" s="208" t="str">
        <f>+'BP 010120x1'!B33</f>
        <v xml:space="preserve">Tractomula </v>
      </c>
      <c r="C37" s="209">
        <f>+'BP 010120x1'!C33</f>
        <v>245000000</v>
      </c>
      <c r="D37" s="209">
        <f>+SUMIF('Diario 20x2'!A:A,'BP 311220x2'!A37,'Diario 20x2'!C:C)</f>
        <v>0</v>
      </c>
      <c r="E37" s="209">
        <f>+SUMIF('Diario 20x2'!A:A,'BP 311220x2'!A37,'Diario 20x2'!D:D)</f>
        <v>0</v>
      </c>
      <c r="F37" s="209">
        <f t="shared" si="0"/>
        <v>245000000</v>
      </c>
    </row>
    <row r="38" spans="1:6" x14ac:dyDescent="0.2">
      <c r="A38" s="208">
        <f>+'BP 010120x1'!A34</f>
        <v>159205</v>
      </c>
      <c r="B38" s="208" t="str">
        <f>+'BP 010120x1'!B34</f>
        <v>Dep acumulada edificación</v>
      </c>
      <c r="C38" s="209">
        <f>+'BP 010120x1'!C34</f>
        <v>-1467000000</v>
      </c>
      <c r="D38" s="209">
        <f>+SUMIF('Diario 20x2'!A:A,'BP 311220x2'!A38,'Diario 20x2'!C:C)</f>
        <v>0</v>
      </c>
      <c r="E38" s="209">
        <f>+SUMIF('Diario 20x2'!A:A,'BP 311220x2'!A38,'Diario 20x2'!D:D)</f>
        <v>122250000</v>
      </c>
      <c r="F38" s="209">
        <f t="shared" si="0"/>
        <v>-1589250000</v>
      </c>
    </row>
    <row r="39" spans="1:6" x14ac:dyDescent="0.2">
      <c r="A39" s="208">
        <f>+'BP 010120x1'!A35</f>
        <v>159297</v>
      </c>
      <c r="B39" s="208" t="str">
        <f>+'BP 010120x1'!B35</f>
        <v>Dep acumulada edificación ajuste NIIF</v>
      </c>
      <c r="C39" s="209">
        <f>+'BP 010120x1'!C35</f>
        <v>1369200000</v>
      </c>
      <c r="D39" s="209">
        <f>+SUMIF('Diario 20x2'!A:A,'BP 311220x2'!A39,'Diario 20x2'!C:C)</f>
        <v>0</v>
      </c>
      <c r="E39" s="209">
        <f>+SUMIF('Diario 20x2'!A:A,'BP 311220x2'!A39,'Diario 20x2'!D:D)</f>
        <v>-73350000</v>
      </c>
      <c r="F39" s="209">
        <f t="shared" si="0"/>
        <v>1442550000</v>
      </c>
    </row>
    <row r="40" spans="1:6" x14ac:dyDescent="0.2">
      <c r="A40" s="208">
        <f>+'BP 010120x1'!A36</f>
        <v>159210</v>
      </c>
      <c r="B40" s="208" t="str">
        <f>+'BP 010120x1'!B36</f>
        <v>Dep acumulada maquinaria</v>
      </c>
      <c r="C40" s="209">
        <f>+'BP 010120x1'!C36</f>
        <v>-412632662</v>
      </c>
      <c r="D40" s="209">
        <f>+SUMIF('Diario 20x2'!A:A,'BP 311220x2'!A40,'Diario 20x2'!C:C)</f>
        <v>0</v>
      </c>
      <c r="E40" s="209">
        <f>+SUMIF('Diario 20x2'!A:A,'BP 311220x2'!A40,'Diario 20x2'!D:D)</f>
        <v>82526532</v>
      </c>
      <c r="F40" s="209">
        <f t="shared" si="0"/>
        <v>-495159194</v>
      </c>
    </row>
    <row r="41" spans="1:6" x14ac:dyDescent="0.2">
      <c r="A41" s="208">
        <f>+'BP 010120x1'!A37</f>
        <v>159215</v>
      </c>
      <c r="B41" s="208" t="str">
        <f>+'BP 010120x1'!B37</f>
        <v>Dep acumulada enseres</v>
      </c>
      <c r="C41" s="209">
        <f>+'BP 010120x1'!C37</f>
        <v>-261030569</v>
      </c>
      <c r="D41" s="209">
        <f>+SUMIF('Diario 20x2'!A:A,'BP 311220x2'!A41,'Diario 20x2'!C:C)</f>
        <v>0</v>
      </c>
      <c r="E41" s="209">
        <f>+SUMIF('Diario 20x2'!A:A,'BP 311220x2'!A41,'Diario 20x2'!D:D)</f>
        <v>43505095</v>
      </c>
      <c r="F41" s="209">
        <f t="shared" si="0"/>
        <v>-304535664</v>
      </c>
    </row>
    <row r="42" spans="1:6" x14ac:dyDescent="0.2">
      <c r="A42" s="208">
        <f>+'BP 010120x1'!A38</f>
        <v>159220</v>
      </c>
      <c r="B42" s="208" t="str">
        <f>+'BP 010120x1'!B38</f>
        <v>Dep acumulada tractomula</v>
      </c>
      <c r="C42" s="209">
        <f>+'BP 010120x1'!C38</f>
        <v>-245000000</v>
      </c>
      <c r="D42" s="209">
        <f>+SUMIF('Diario 20x2'!A:A,'BP 311220x2'!A42,'Diario 20x2'!C:C)</f>
        <v>0</v>
      </c>
      <c r="E42" s="209">
        <f>+SUMIF('Diario 20x2'!A:A,'BP 311220x2'!A42,'Diario 20x2'!D:D)</f>
        <v>0</v>
      </c>
      <c r="F42" s="209">
        <f t="shared" si="0"/>
        <v>-245000000</v>
      </c>
    </row>
    <row r="43" spans="1:6" x14ac:dyDescent="0.2">
      <c r="A43" s="208">
        <f>+'BP 010120x1'!A39</f>
        <v>159298</v>
      </c>
      <c r="B43" s="208" t="str">
        <f>+'BP 010120x1'!B39</f>
        <v>Dep acumulada tractomula ajuste NIIF</v>
      </c>
      <c r="C43" s="209">
        <f>+'BP 010120x1'!C39</f>
        <v>158333333</v>
      </c>
      <c r="D43" s="209">
        <f>+SUMIF('Diario 20x2'!A:A,'BP 311220x2'!A43,'Diario 20x2'!C:C)</f>
        <v>0</v>
      </c>
      <c r="E43" s="209">
        <f>+SUMIF('Diario 20x2'!A:A,'BP 311220x2'!A43,'Diario 20x2'!D:D)</f>
        <v>6190476</v>
      </c>
      <c r="F43" s="209">
        <f t="shared" si="0"/>
        <v>152142857</v>
      </c>
    </row>
    <row r="44" spans="1:6" x14ac:dyDescent="0.2">
      <c r="A44" s="208">
        <f>+'BP 010120x1'!A40</f>
        <v>161010</v>
      </c>
      <c r="B44" s="208" t="str">
        <f>+'BP 010120x1'!B40</f>
        <v>Programa de contabilidad</v>
      </c>
      <c r="C44" s="209">
        <f>+'BP 010120x1'!C40</f>
        <v>65000000</v>
      </c>
      <c r="D44" s="209">
        <f>+SUMIF('Diario 20x2'!A:A,'BP 311220x2'!A44,'Diario 20x2'!C:C)</f>
        <v>0</v>
      </c>
      <c r="E44" s="209">
        <f>+SUMIF('Diario 20x2'!A:A,'BP 311220x2'!A44,'Diario 20x2'!D:D)</f>
        <v>0</v>
      </c>
      <c r="F44" s="209">
        <f t="shared" si="0"/>
        <v>65000000</v>
      </c>
    </row>
    <row r="45" spans="1:6" x14ac:dyDescent="0.2">
      <c r="A45" s="208">
        <f>+'BP 010120x1'!A41</f>
        <v>161098</v>
      </c>
      <c r="B45" s="208" t="str">
        <f>+'BP 010120x1'!B41</f>
        <v>Amortización</v>
      </c>
      <c r="C45" s="209">
        <f>+'BP 010120x1'!C41</f>
        <v>-39000000</v>
      </c>
      <c r="D45" s="209">
        <f>+SUMIF('Diario 20x2'!A:A,'BP 311220x2'!A45,'Diario 20x2'!C:C)</f>
        <v>0</v>
      </c>
      <c r="E45" s="209">
        <f>+SUMIF('Diario 20x2'!A:A,'BP 311220x2'!A45,'Diario 20x2'!D:D)</f>
        <v>13000000</v>
      </c>
      <c r="F45" s="209">
        <f t="shared" si="0"/>
        <v>-52000000</v>
      </c>
    </row>
    <row r="46" spans="1:6" x14ac:dyDescent="0.2">
      <c r="A46" s="208">
        <f>+'BP 010120x1'!A42</f>
        <v>170545</v>
      </c>
      <c r="B46" s="208" t="str">
        <f>+'BP 010120x1'!B42</f>
        <v>Suscripciones a revistas</v>
      </c>
      <c r="C46" s="209">
        <f>+'BP 010120x1'!C42</f>
        <v>13526000</v>
      </c>
      <c r="D46" s="209">
        <f>+SUMIF('Diario 20x2'!A:A,'BP 311220x2'!A46,'Diario 20x2'!C:C)</f>
        <v>7326000</v>
      </c>
      <c r="E46" s="209">
        <f>+SUMIF('Diario 20x2'!A:A,'BP 311220x2'!A46,'Diario 20x2'!D:D)</f>
        <v>13526000</v>
      </c>
      <c r="F46" s="209">
        <f t="shared" si="0"/>
        <v>7326000</v>
      </c>
    </row>
    <row r="47" spans="1:6" x14ac:dyDescent="0.2">
      <c r="A47" s="208">
        <f>+'BP 010120x1'!A43</f>
        <v>170525</v>
      </c>
      <c r="B47" s="208" t="str">
        <f>+'BP 010120x1'!B43</f>
        <v>Arrendamientos</v>
      </c>
      <c r="C47" s="209">
        <f>+'BP 010120x1'!C43</f>
        <v>7560000</v>
      </c>
      <c r="D47" s="209">
        <f>+SUMIF('Diario 20x2'!A:A,'BP 311220x2'!A47,'Diario 20x2'!C:C)</f>
        <v>8352000</v>
      </c>
      <c r="E47" s="209">
        <f>+SUMIF('Diario 20x2'!A:A,'BP 311220x2'!A47,'Diario 20x2'!D:D)</f>
        <v>7560000</v>
      </c>
      <c r="F47" s="209">
        <f t="shared" si="0"/>
        <v>8352000</v>
      </c>
    </row>
    <row r="48" spans="1:6" x14ac:dyDescent="0.2">
      <c r="A48" s="208">
        <f>+'BP 010120x1'!A44</f>
        <v>170520</v>
      </c>
      <c r="B48" s="208" t="str">
        <f>+'BP 010120x1'!B44</f>
        <v>Polizas de seguros</v>
      </c>
      <c r="C48" s="209">
        <f>+'BP 010120x1'!C44</f>
        <v>5500000</v>
      </c>
      <c r="D48" s="209">
        <f>+SUMIF('Diario 20x2'!A:A,'BP 311220x2'!A48,'Diario 20x2'!C:C)</f>
        <v>6500000</v>
      </c>
      <c r="E48" s="209">
        <f>+SUMIF('Diario 20x2'!A:A,'BP 311220x2'!A48,'Diario 20x2'!D:D)</f>
        <v>5500000</v>
      </c>
      <c r="F48" s="209">
        <f t="shared" si="0"/>
        <v>6500000</v>
      </c>
    </row>
    <row r="49" spans="1:7" x14ac:dyDescent="0.2">
      <c r="A49" s="208">
        <f>+'BP 010120x1'!A45</f>
        <v>192010</v>
      </c>
      <c r="B49" s="208" t="str">
        <f>+'BP 010120x1'!B45</f>
        <v>Propiedades de inversión</v>
      </c>
      <c r="C49" s="209">
        <f>+'BP 010120x1'!C45</f>
        <v>350000000</v>
      </c>
      <c r="D49" s="209">
        <f>+SUMIF('Diario 20x2'!A:A,'BP 311220x2'!A49,'Diario 20x2'!C:C)</f>
        <v>350000000</v>
      </c>
      <c r="E49" s="209">
        <f>+SUMIF('Diario 20x2'!A:A,'BP 311220x2'!A49,'Diario 20x2'!D:D)</f>
        <v>0</v>
      </c>
      <c r="F49" s="209">
        <f t="shared" si="0"/>
        <v>700000000</v>
      </c>
    </row>
    <row r="50" spans="1:7" x14ac:dyDescent="0.2">
      <c r="A50" s="208">
        <f>+'BP 010120x1'!A46</f>
        <v>192097</v>
      </c>
      <c r="B50" s="208" t="str">
        <f>+'BP 010120x1'!B46</f>
        <v>Propiedades de inversión ajuste NIIF</v>
      </c>
      <c r="C50" s="209">
        <f>+'BP 010120x1'!C46</f>
        <v>850000000</v>
      </c>
      <c r="D50" s="209">
        <f>+SUMIF('Diario 20x2'!A:A,'BP 311220x2'!A50,'Diario 20x2'!C:C)</f>
        <v>295000000</v>
      </c>
      <c r="E50" s="209">
        <f>+SUMIF('Diario 20x2'!A:A,'BP 311220x2'!A50,'Diario 20x2'!D:D)</f>
        <v>0</v>
      </c>
      <c r="F50" s="209">
        <f t="shared" si="0"/>
        <v>1145000000</v>
      </c>
    </row>
    <row r="51" spans="1:7" x14ac:dyDescent="0.2">
      <c r="A51" s="208">
        <f>+'BP 010120x1'!A47</f>
        <v>172065</v>
      </c>
      <c r="B51" s="208" t="str">
        <f>+'BP 010120x1'!B47</f>
        <v>Activo x impuestos diferidos</v>
      </c>
      <c r="C51" s="209">
        <f>+'BP 010120x1'!C47</f>
        <v>0</v>
      </c>
      <c r="D51" s="209">
        <f>+SUMIF('Diario 20x2'!A:A,'BP 311220x2'!A51,'Diario 20x2'!C:C)</f>
        <v>0</v>
      </c>
      <c r="E51" s="209">
        <f>+SUMIF('Diario 20x2'!A:A,'BP 311220x2'!A51,'Diario 20x2'!D:D)</f>
        <v>0</v>
      </c>
      <c r="F51" s="209">
        <f t="shared" si="0"/>
        <v>0</v>
      </c>
    </row>
    <row r="52" spans="1:7" x14ac:dyDescent="0.2">
      <c r="B52" s="210" t="s">
        <v>54</v>
      </c>
      <c r="C52" s="211">
        <f>SUM(C7:C51)</f>
        <v>15230021079</v>
      </c>
      <c r="D52" s="211">
        <f>SUM(D7:D51)</f>
        <v>36291995648.419998</v>
      </c>
      <c r="E52" s="211">
        <f>SUM(E7:E51)</f>
        <v>31150845289.419998</v>
      </c>
      <c r="F52" s="211">
        <f>SUM(F7:F51)</f>
        <v>20371171438</v>
      </c>
    </row>
    <row r="54" spans="1:7" x14ac:dyDescent="0.2">
      <c r="B54" s="203" t="s">
        <v>17</v>
      </c>
      <c r="C54" s="214"/>
      <c r="D54" s="215"/>
      <c r="E54" s="216"/>
      <c r="F54" s="215"/>
    </row>
    <row r="55" spans="1:7" x14ac:dyDescent="0.2">
      <c r="A55" s="208">
        <f>+'BP 010120x1'!A51</f>
        <v>210510</v>
      </c>
      <c r="B55" s="208" t="str">
        <f>+'BP 010120x1'!B51</f>
        <v>Obligaciones financieras</v>
      </c>
      <c r="C55" s="209">
        <f>+'BP 010120x1'!C51</f>
        <v>2516527734.1461334</v>
      </c>
      <c r="D55" s="209">
        <f>+SUMIF('Diario 20x2'!A:A,'BP 311220x2'!A55,'Diario 20x2'!C:C)</f>
        <v>541010194</v>
      </c>
      <c r="E55" s="209">
        <f>+SUMIF('Diario 20x2'!A:A,'BP 311220x2'!A55,'Diario 20x2'!D:D)</f>
        <v>24373550</v>
      </c>
      <c r="F55" s="209">
        <f>+C55+E55-D55</f>
        <v>1999891090.1461334</v>
      </c>
      <c r="G55" s="217"/>
    </row>
    <row r="56" spans="1:7" x14ac:dyDescent="0.2">
      <c r="A56" s="208">
        <f>+'BP 010120x1'!A52</f>
        <v>220505</v>
      </c>
      <c r="B56" s="208" t="str">
        <f>+'BP 010120x1'!B52</f>
        <v>Proveedores</v>
      </c>
      <c r="C56" s="209">
        <f>+'BP 010120x1'!C52</f>
        <v>652000000</v>
      </c>
      <c r="D56" s="209">
        <f>+SUMIF('Diario 20x2'!A:A,'BP 311220x2'!A56,'Diario 20x2'!C:C)</f>
        <v>652000000</v>
      </c>
      <c r="E56" s="209">
        <f>+SUMIF('Diario 20x2'!A:A,'BP 311220x2'!A56,'Diario 20x2'!D:D)</f>
        <v>612345768</v>
      </c>
      <c r="F56" s="209">
        <f t="shared" ref="F56:F68" si="5">+C56+E56-D56</f>
        <v>612345768</v>
      </c>
    </row>
    <row r="57" spans="1:7" x14ac:dyDescent="0.2">
      <c r="A57" s="208">
        <f>+'BP 010120x1'!A53</f>
        <v>236595</v>
      </c>
      <c r="B57" s="208" t="str">
        <f>+'BP 010120x1'!B53</f>
        <v>Retención en la fuente</v>
      </c>
      <c r="C57" s="209">
        <f>+'BP 010120x1'!C53</f>
        <v>26500000</v>
      </c>
      <c r="D57" s="209">
        <f>+SUMIF('Diario 20x2'!A:A,'BP 311220x2'!A57,'Diario 20x2'!C:C)</f>
        <v>26500000</v>
      </c>
      <c r="E57" s="209">
        <f>+SUMIF('Diario 20x2'!A:A,'BP 311220x2'!A57,'Diario 20x2'!D:D)</f>
        <v>12543000</v>
      </c>
      <c r="F57" s="209">
        <f t="shared" si="5"/>
        <v>12543000</v>
      </c>
    </row>
    <row r="58" spans="1:7" x14ac:dyDescent="0.2">
      <c r="A58" s="208">
        <f>+'BP 010120x1'!A54</f>
        <v>237010</v>
      </c>
      <c r="B58" s="208" t="str">
        <f>+'BP 010120x1'!B54</f>
        <v>Parafiscales por pagar</v>
      </c>
      <c r="C58" s="209">
        <f>+'BP 010120x1'!C54</f>
        <v>36250000</v>
      </c>
      <c r="D58" s="209">
        <f>+SUMIF('Diario 20x2'!A:A,'BP 311220x2'!A58,'Diario 20x2'!C:C)</f>
        <v>36250000</v>
      </c>
      <c r="E58" s="209">
        <f>+SUMIF('Diario 20x2'!A:A,'BP 311220x2'!A58,'Diario 20x2'!D:D)</f>
        <v>37876000</v>
      </c>
      <c r="F58" s="209">
        <f t="shared" si="5"/>
        <v>37876000</v>
      </c>
    </row>
    <row r="59" spans="1:7" x14ac:dyDescent="0.2">
      <c r="A59" s="208">
        <f>+'BP 010120x1'!A55</f>
        <v>237005</v>
      </c>
      <c r="B59" s="208" t="str">
        <f>+'BP 010120x1'!B55</f>
        <v>Aportes salud y ARL</v>
      </c>
      <c r="C59" s="209">
        <f>+'BP 010120x1'!C55</f>
        <v>63250000</v>
      </c>
      <c r="D59" s="209">
        <f>+SUMIF('Diario 20x2'!A:A,'BP 311220x2'!A59,'Diario 20x2'!C:C)</f>
        <v>63250000</v>
      </c>
      <c r="E59" s="209">
        <f>+SUMIF('Diario 20x2'!A:A,'BP 311220x2'!A59,'Diario 20x2'!D:D)</f>
        <v>58765000</v>
      </c>
      <c r="F59" s="209">
        <f t="shared" si="5"/>
        <v>58765000</v>
      </c>
    </row>
    <row r="60" spans="1:7" x14ac:dyDescent="0.2">
      <c r="A60" s="208">
        <f>+'BP 010120x1'!A56</f>
        <v>237045</v>
      </c>
      <c r="B60" s="208" t="str">
        <f>+'BP 010120x1'!B56</f>
        <v>Aportes pensión</v>
      </c>
      <c r="C60" s="209">
        <f>+'BP 010120x1'!C56</f>
        <v>176523000</v>
      </c>
      <c r="D60" s="209">
        <f>+SUMIF('Diario 20x2'!A:A,'BP 311220x2'!A60,'Diario 20x2'!C:C)</f>
        <v>176523000</v>
      </c>
      <c r="E60" s="209">
        <f>+SUMIF('Diario 20x2'!A:A,'BP 311220x2'!A60,'Diario 20x2'!D:D)</f>
        <v>174654000</v>
      </c>
      <c r="F60" s="209">
        <f t="shared" si="5"/>
        <v>174654000</v>
      </c>
    </row>
    <row r="61" spans="1:7" x14ac:dyDescent="0.2">
      <c r="A61" s="208">
        <f>+'BP 010120x1'!A57</f>
        <v>240404</v>
      </c>
      <c r="B61" s="208" t="str">
        <f>+'BP 010120x1'!B57</f>
        <v>Impuesto de renta por pagar</v>
      </c>
      <c r="C61" s="209">
        <f>+'BP 010120x1'!C57</f>
        <v>125600000</v>
      </c>
      <c r="D61" s="209">
        <f>+SUMIF('Diario 20x2'!A:A,'BP 311220x2'!A61,'Diario 20x2'!C:C)</f>
        <v>125600000</v>
      </c>
      <c r="E61" s="209">
        <f>+SUMIF('Diario 20x2'!A:A,'BP 311220x2'!A61,'Diario 20x2'!D:D)</f>
        <v>1148433000</v>
      </c>
      <c r="F61" s="209">
        <f t="shared" si="5"/>
        <v>1148433000</v>
      </c>
    </row>
    <row r="62" spans="1:7" x14ac:dyDescent="0.2">
      <c r="A62" s="208">
        <v>240801</v>
      </c>
      <c r="B62" s="208" t="s">
        <v>313</v>
      </c>
      <c r="C62" s="209">
        <v>0</v>
      </c>
      <c r="D62" s="209">
        <f>+SUMIF('Diario 20x2'!A:A,'BP 311220x2'!A62,'Diario 20x2'!C:C)</f>
        <v>3763510000</v>
      </c>
      <c r="E62" s="209">
        <f>+SUMIF('Diario 20x2'!A:A,'BP 311220x2'!A62,'Diario 20x2'!D:D)</f>
        <v>4245760000</v>
      </c>
      <c r="F62" s="209">
        <f t="shared" si="5"/>
        <v>482250000</v>
      </c>
    </row>
    <row r="63" spans="1:7" x14ac:dyDescent="0.2">
      <c r="A63" s="208">
        <f>+'BP 010120x1'!A58</f>
        <v>241205</v>
      </c>
      <c r="B63" s="208" t="str">
        <f>+'BP 010120x1'!B58</f>
        <v>Industria y comercio por pagar</v>
      </c>
      <c r="C63" s="209">
        <f>+'BP 010120x1'!C58</f>
        <v>140000000</v>
      </c>
      <c r="D63" s="209">
        <f>+SUMIF('Diario 20x2'!A:A,'BP 311220x2'!A63,'Diario 20x2'!C:C)</f>
        <v>140000000</v>
      </c>
      <c r="E63" s="209">
        <f>+SUMIF('Diario 20x2'!A:A,'BP 311220x2'!A63,'Diario 20x2'!D:D)</f>
        <v>263254320</v>
      </c>
      <c r="F63" s="209">
        <f t="shared" si="5"/>
        <v>263254320</v>
      </c>
    </row>
    <row r="64" spans="1:7" x14ac:dyDescent="0.2">
      <c r="A64" s="208">
        <f>+'BP 010120x1'!A59</f>
        <v>250505</v>
      </c>
      <c r="B64" s="208" t="str">
        <f>+'BP 010120x1'!B59</f>
        <v>Pasivos laborales</v>
      </c>
      <c r="C64" s="209">
        <f>+'BP 010120x1'!C59</f>
        <v>69622638</v>
      </c>
      <c r="D64" s="209">
        <f>+SUMIF('Diario 20x2'!A:A,'BP 311220x2'!A64,'Diario 20x2'!C:C)</f>
        <v>69622638</v>
      </c>
      <c r="E64" s="209">
        <f>+SUMIF('Diario 20x2'!A:A,'BP 311220x2'!A64,'Diario 20x2'!D:D)</f>
        <v>75453678</v>
      </c>
      <c r="F64" s="209">
        <f t="shared" si="5"/>
        <v>75453678</v>
      </c>
    </row>
    <row r="65" spans="1:7" x14ac:dyDescent="0.2">
      <c r="A65" s="208">
        <f>+'BP 010120x1'!A60</f>
        <v>263505</v>
      </c>
      <c r="B65" s="208" t="str">
        <f>+'BP 010120x1'!B60</f>
        <v xml:space="preserve">Litigios y demandas </v>
      </c>
      <c r="C65" s="209">
        <f>+'BP 010120x1'!C60</f>
        <v>135078737</v>
      </c>
      <c r="D65" s="209">
        <f>+SUMIF('Diario 20x2'!A:A,'BP 311220x2'!A65,'Diario 20x2'!C:C)</f>
        <v>60000000</v>
      </c>
      <c r="E65" s="209">
        <f>+SUMIF('Diario 20x2'!A:A,'BP 311220x2'!A65,'Diario 20x2'!D:D)</f>
        <v>64307091</v>
      </c>
      <c r="F65" s="209">
        <f t="shared" si="5"/>
        <v>139385828</v>
      </c>
    </row>
    <row r="66" spans="1:7" x14ac:dyDescent="0.2">
      <c r="A66" s="208">
        <f>+'BP 010120x1'!A61</f>
        <v>264005</v>
      </c>
      <c r="B66" s="208" t="str">
        <f>+'BP 010120x1'!B61</f>
        <v>Garantías</v>
      </c>
      <c r="C66" s="209">
        <f>+'BP 010120x1'!C61</f>
        <v>126000000</v>
      </c>
      <c r="D66" s="209">
        <f>+SUMIF('Diario 20x2'!A:A,'BP 311220x2'!A66,'Diario 20x2'!C:C)</f>
        <v>161440000</v>
      </c>
      <c r="E66" s="209">
        <f>+SUMIF('Diario 20x2'!A:A,'BP 311220x2'!A66,'Diario 20x2'!D:D)</f>
        <v>165000000</v>
      </c>
      <c r="F66" s="209">
        <f t="shared" si="5"/>
        <v>129560000</v>
      </c>
    </row>
    <row r="67" spans="1:7" x14ac:dyDescent="0.2">
      <c r="A67" s="208">
        <f>+'BP 010120x1'!A62</f>
        <v>210595</v>
      </c>
      <c r="B67" s="208" t="str">
        <f>+'BP 010120x1'!B62</f>
        <v>Derivados financieros</v>
      </c>
      <c r="C67" s="209">
        <f>+'BP 010120x1'!C62</f>
        <v>10052000</v>
      </c>
      <c r="D67" s="209">
        <f>+SUMIF('Diario 20x2'!A:A,'BP 311220x2'!A67,'Diario 20x2'!C:C)</f>
        <v>10052000</v>
      </c>
      <c r="E67" s="209">
        <f>+SUMIF('Diario 20x2'!A:A,'BP 311220x2'!A67,'Diario 20x2'!D:D)</f>
        <v>5052000</v>
      </c>
      <c r="F67" s="209">
        <f t="shared" si="5"/>
        <v>5052000</v>
      </c>
    </row>
    <row r="68" spans="1:7" x14ac:dyDescent="0.2">
      <c r="A68" s="208">
        <f>+'BP 010120x1'!A63</f>
        <v>271095</v>
      </c>
      <c r="B68" s="208" t="str">
        <f>+'BP 010120x1'!B63</f>
        <v>Pasivos x impuestos diferidos</v>
      </c>
      <c r="C68" s="209">
        <f>+'BP 010120x1'!C63</f>
        <v>558693552.59722829</v>
      </c>
      <c r="D68" s="209">
        <f>+SUMIF('Diario 20x2'!A:A,'BP 311220x2'!A68,'Diario 20x2'!C:C)</f>
        <v>0</v>
      </c>
      <c r="E68" s="209">
        <f>+SUMIF('Diario 20x2'!A:A,'BP 311220x2'!A68,'Diario 20x2'!D:D)</f>
        <v>290144790.59369111</v>
      </c>
      <c r="F68" s="209">
        <f t="shared" si="5"/>
        <v>848838343.1909194</v>
      </c>
      <c r="G68" s="217"/>
    </row>
    <row r="69" spans="1:7" x14ac:dyDescent="0.2">
      <c r="B69" s="203" t="s">
        <v>55</v>
      </c>
      <c r="C69" s="211">
        <f>SUM(C55:C68)</f>
        <v>4636097661.7433615</v>
      </c>
      <c r="D69" s="211">
        <f>SUM(D55:D68)</f>
        <v>5825757832</v>
      </c>
      <c r="E69" s="211">
        <f>SUM(E55:E68)</f>
        <v>7177962197.5936909</v>
      </c>
      <c r="F69" s="211">
        <f>SUM(F55:F68)</f>
        <v>5988302027.3370533</v>
      </c>
    </row>
    <row r="70" spans="1:7" x14ac:dyDescent="0.2">
      <c r="C70" s="118"/>
      <c r="D70" s="118"/>
      <c r="E70" s="118"/>
      <c r="F70" s="118"/>
    </row>
    <row r="71" spans="1:7" x14ac:dyDescent="0.2">
      <c r="B71" s="203" t="s">
        <v>19</v>
      </c>
      <c r="C71" s="211">
        <f>SUM(C72:C78)</f>
        <v>10593923417.26</v>
      </c>
      <c r="D71" s="211">
        <f>SUM(D72:D78)</f>
        <v>1207095389</v>
      </c>
      <c r="E71" s="211">
        <f>SUM(E72:E78)</f>
        <v>4996041382.4063072</v>
      </c>
      <c r="F71" s="211">
        <f>SUM(F72:F78)</f>
        <v>14382869410.666307</v>
      </c>
    </row>
    <row r="72" spans="1:7" x14ac:dyDescent="0.2">
      <c r="A72" s="208">
        <f>+'BP 010120x1'!A67</f>
        <v>310505</v>
      </c>
      <c r="B72" s="208" t="str">
        <f>+'BP 010120x1'!B67</f>
        <v>Capital suscrito y pagado</v>
      </c>
      <c r="C72" s="209">
        <f>+'BP 010120x1'!C67</f>
        <v>8500000000</v>
      </c>
      <c r="D72" s="209">
        <f>+SUMIF('Diario 20x2'!A:A,'BP 311220x2'!A72,'Diario 20x2'!C:C)</f>
        <v>0</v>
      </c>
      <c r="E72" s="209">
        <f>+SUMIF('Diario 20x2'!A:A,'BP 311220x2'!A72,'Diario 20x2'!D:D)</f>
        <v>0</v>
      </c>
      <c r="F72" s="209">
        <f t="shared" ref="F72:F76" si="6">+C72+E72-D72</f>
        <v>8500000000</v>
      </c>
    </row>
    <row r="73" spans="1:7" x14ac:dyDescent="0.2">
      <c r="A73" s="208">
        <f>+'BP 010120x1'!A68</f>
        <v>330505</v>
      </c>
      <c r="B73" s="208" t="str">
        <f>+'BP 010120x1'!B68</f>
        <v>Reservas</v>
      </c>
      <c r="C73" s="209">
        <f>+'BP 010120x1'!C68</f>
        <v>650256000</v>
      </c>
      <c r="D73" s="209">
        <f>+SUMIF('Diario 20x2'!A:A,'BP 311220x2'!A73,'Diario 20x2'!C:C)</f>
        <v>0</v>
      </c>
      <c r="E73" s="209">
        <f>+SUMIF('Diario 20x2'!A:A,'BP 311220x2'!A73,'Diario 20x2'!D:D)</f>
        <v>120709539</v>
      </c>
      <c r="F73" s="209">
        <f t="shared" si="6"/>
        <v>770965539</v>
      </c>
    </row>
    <row r="74" spans="1:7" x14ac:dyDescent="0.2">
      <c r="A74" s="208">
        <f>+'BP 010120x1'!A69</f>
        <v>360505</v>
      </c>
      <c r="B74" s="208" t="str">
        <f>+'BP 010120x1'!B69</f>
        <v>Utilidad  del ejercicio</v>
      </c>
      <c r="C74" s="209">
        <f>+'BP 010120x1'!C69</f>
        <v>1207095389</v>
      </c>
      <c r="D74" s="209">
        <f>+SUMIF('Diario 20x2'!A:A,'BP 311220x2'!A74,'Diario 20x2'!C:C)</f>
        <v>1207095389</v>
      </c>
      <c r="E74" s="249">
        <f>+F138</f>
        <v>3788945993.4063072</v>
      </c>
      <c r="F74" s="209">
        <f>+C74+E74-D74</f>
        <v>3788945993.4063072</v>
      </c>
      <c r="G74" s="247"/>
    </row>
    <row r="75" spans="1:7" x14ac:dyDescent="0.2">
      <c r="A75" s="208">
        <f>+'BP 010120x1'!A70</f>
        <v>370505</v>
      </c>
      <c r="B75" s="208" t="str">
        <f>+'BP 010120x1'!B70</f>
        <v>Resultados de ejercicios anteriores</v>
      </c>
      <c r="C75" s="209">
        <f>+'BP 010120x1'!C70</f>
        <v>84572028.260000005</v>
      </c>
      <c r="D75" s="209">
        <f>+SUMIF('Diario 20x2'!A:A,'BP 311220x2'!A75,'Diario 20x2'!C:C)</f>
        <v>0</v>
      </c>
      <c r="E75" s="209">
        <f>+SUMIF('Diario 20x2'!A:A,'BP 311220x2'!A75,'Diario 20x2'!D:D)</f>
        <v>1086385850</v>
      </c>
      <c r="F75" s="209">
        <f t="shared" si="6"/>
        <v>1170957878.26</v>
      </c>
    </row>
    <row r="76" spans="1:7" x14ac:dyDescent="0.2">
      <c r="A76" s="208">
        <f>+'BP 010120x1'!A71</f>
        <v>370506</v>
      </c>
      <c r="B76" s="208" t="str">
        <f>+'BP 010120x1'!B71</f>
        <v>Revalorización patrimonio</v>
      </c>
      <c r="C76" s="209">
        <f>+'BP 010120x1'!C71</f>
        <v>152000000</v>
      </c>
      <c r="D76" s="209">
        <f>+SUMIF('Diario 20x2'!A:A,'BP 311220x2'!A76,'Diario 20x2'!C:C)</f>
        <v>0</v>
      </c>
      <c r="E76" s="209">
        <f>+SUMIF('Diario 20x2'!A:A,'BP 311220x2'!A76,'Diario 20x2'!D:D)</f>
        <v>0</v>
      </c>
      <c r="F76" s="209">
        <f t="shared" si="6"/>
        <v>152000000</v>
      </c>
    </row>
    <row r="77" spans="1:7" x14ac:dyDescent="0.2">
      <c r="A77" s="208">
        <v>381005</v>
      </c>
      <c r="B77" s="208" t="s">
        <v>867</v>
      </c>
      <c r="C77" s="209"/>
      <c r="D77" s="209">
        <f>+SUMIF('Diario 20x2'!A:A,'BP 311220x2'!A77,'Diario 20x2'!C:C)</f>
        <v>0</v>
      </c>
      <c r="E77" s="209">
        <f>+SUMIF('Diario 20x2'!A:A,'BP 311220x2'!A77,'Diario 20x2'!D:D)</f>
        <v>0</v>
      </c>
      <c r="F77" s="209"/>
    </row>
    <row r="78" spans="1:7" x14ac:dyDescent="0.2">
      <c r="D78" s="213"/>
    </row>
    <row r="79" spans="1:7" x14ac:dyDescent="0.2">
      <c r="B79" s="203" t="s">
        <v>56</v>
      </c>
      <c r="C79" s="211">
        <f>+C69+C71</f>
        <v>15230021079.003361</v>
      </c>
      <c r="D79" s="211">
        <f>+D69+D71</f>
        <v>7032853221</v>
      </c>
      <c r="E79" s="211">
        <f>+E69+E71</f>
        <v>12174003579.999998</v>
      </c>
      <c r="F79" s="211">
        <f>+F69+F71</f>
        <v>20371171438.003361</v>
      </c>
    </row>
    <row r="81" spans="1:12" x14ac:dyDescent="0.2">
      <c r="C81" s="218">
        <f>+C79-C52</f>
        <v>3.360748291015625E-3</v>
      </c>
      <c r="D81" s="218">
        <f>+D79+D52</f>
        <v>43324848869.419998</v>
      </c>
      <c r="E81" s="218">
        <f>+E79+E52</f>
        <v>43324848869.419998</v>
      </c>
      <c r="F81" s="218">
        <f>+F79-F52</f>
        <v>3.360748291015625E-3</v>
      </c>
    </row>
    <row r="83" spans="1:12" x14ac:dyDescent="0.2">
      <c r="C83" s="206" t="str">
        <f>+C5</f>
        <v>Saldo inicial</v>
      </c>
      <c r="D83" s="206" t="str">
        <f>+D5</f>
        <v>Débito</v>
      </c>
      <c r="E83" s="206" t="str">
        <f>+E5</f>
        <v>Crédito</v>
      </c>
      <c r="F83" s="206" t="str">
        <f>+F5</f>
        <v xml:space="preserve">Saldo final </v>
      </c>
    </row>
    <row r="84" spans="1:12" x14ac:dyDescent="0.2">
      <c r="B84" s="219" t="s">
        <v>178</v>
      </c>
      <c r="C84" s="220"/>
      <c r="D84" s="220"/>
      <c r="E84" s="220"/>
      <c r="F84" s="220"/>
    </row>
    <row r="85" spans="1:12" x14ac:dyDescent="0.2">
      <c r="B85" s="203" t="s">
        <v>179</v>
      </c>
      <c r="C85" s="212">
        <f>SUM(C86:C101)</f>
        <v>0</v>
      </c>
      <c r="D85" s="212">
        <f>SUM(D86:D101)</f>
        <v>185623500</v>
      </c>
      <c r="E85" s="212">
        <f>SUM(E86:E101)</f>
        <v>28538896522.419998</v>
      </c>
      <c r="F85" s="212">
        <f>SUM(F86:F101)</f>
        <v>28353273022.419998</v>
      </c>
    </row>
    <row r="86" spans="1:12" x14ac:dyDescent="0.2">
      <c r="A86" s="208">
        <v>412005</v>
      </c>
      <c r="B86" s="154" t="s">
        <v>274</v>
      </c>
      <c r="C86" s="209"/>
      <c r="D86" s="209">
        <f>+SUMIF('Diario 20x2'!A:A,'BP 311220x2'!A86,'Diario 20x2'!C:C)</f>
        <v>0</v>
      </c>
      <c r="E86" s="209">
        <f>+SUMIF('Diario 20x2'!A:A,'BP 311220x2'!A86,'Diario 20x2'!D:D)</f>
        <v>26536000000</v>
      </c>
      <c r="F86" s="209">
        <f>+C86+E86-D86</f>
        <v>26536000000</v>
      </c>
    </row>
    <row r="87" spans="1:12" x14ac:dyDescent="0.2">
      <c r="A87" s="208">
        <v>410505</v>
      </c>
      <c r="B87" s="154" t="s">
        <v>275</v>
      </c>
      <c r="C87" s="209"/>
      <c r="D87" s="209">
        <f>+SUMIF('Diario 20x2'!A:A,'BP 311220x2'!A87,'Diario 20x2'!C:C)</f>
        <v>0</v>
      </c>
      <c r="E87" s="209">
        <f>+SUMIF('Diario 20x2'!A:A,'BP 311220x2'!A87,'Diario 20x2'!D:D)</f>
        <v>426000000</v>
      </c>
      <c r="F87" s="209">
        <f t="shared" ref="F87:F101" si="7">+C87+E87-D87</f>
        <v>426000000</v>
      </c>
    </row>
    <row r="88" spans="1:12" ht="25.5" x14ac:dyDescent="0.2">
      <c r="A88" s="208">
        <v>410595</v>
      </c>
      <c r="B88" s="154" t="s">
        <v>276</v>
      </c>
      <c r="C88" s="209"/>
      <c r="D88" s="209">
        <f>+SUMIF('Diario 20x2'!A:A,'BP 311220x2'!A88,'Diario 20x2'!C:C)</f>
        <v>35000000</v>
      </c>
      <c r="E88" s="209">
        <f>+SUMIF('Diario 20x2'!A:A,'BP 311220x2'!A88,'Diario 20x2'!D:D)</f>
        <v>116294000</v>
      </c>
      <c r="F88" s="209">
        <f t="shared" si="7"/>
        <v>81294000</v>
      </c>
    </row>
    <row r="89" spans="1:12" x14ac:dyDescent="0.2">
      <c r="A89" s="208">
        <v>413505</v>
      </c>
      <c r="B89" s="154" t="s">
        <v>210</v>
      </c>
      <c r="C89" s="209"/>
      <c r="D89" s="209">
        <f>+SUMIF('Diario 20x2'!A:A,'BP 311220x2'!A89,'Diario 20x2'!C:C)</f>
        <v>0</v>
      </c>
      <c r="E89" s="209">
        <f>+SUMIF('Diario 20x2'!A:A,'BP 311220x2'!A89,'Diario 20x2'!D:D)</f>
        <v>415000000</v>
      </c>
      <c r="F89" s="209">
        <f t="shared" si="7"/>
        <v>415000000</v>
      </c>
      <c r="K89" s="95" t="s">
        <v>864</v>
      </c>
      <c r="L89" s="95" t="s">
        <v>866</v>
      </c>
    </row>
    <row r="90" spans="1:12" x14ac:dyDescent="0.2">
      <c r="A90" s="208">
        <v>417505</v>
      </c>
      <c r="B90" s="154" t="s">
        <v>180</v>
      </c>
      <c r="C90" s="209"/>
      <c r="D90" s="209">
        <f>+SUMIF('Diario 20x2'!A:A,'BP 311220x2'!A90,'Diario 20x2'!C:C)</f>
        <v>125000000</v>
      </c>
      <c r="E90" s="209">
        <f>+SUMIF('Diario 20x2'!A:A,'BP 311220x2'!A90,'Diario 20x2'!D:D)</f>
        <v>0</v>
      </c>
      <c r="F90" s="209">
        <f t="shared" si="7"/>
        <v>-125000000</v>
      </c>
      <c r="K90" s="95" t="s">
        <v>865</v>
      </c>
    </row>
    <row r="91" spans="1:12" x14ac:dyDescent="0.2">
      <c r="A91" s="208">
        <v>421005</v>
      </c>
      <c r="B91" s="154" t="s">
        <v>126</v>
      </c>
      <c r="C91" s="209"/>
      <c r="D91" s="209">
        <f>+SUMIF('Diario 20x2'!A:A,'BP 311220x2'!A91,'Diario 20x2'!C:C)</f>
        <v>0</v>
      </c>
      <c r="E91" s="209">
        <f>+SUMIF('Diario 20x2'!A:A,'BP 311220x2'!A91,'Diario 20x2'!D:D)</f>
        <v>58465000</v>
      </c>
      <c r="F91" s="209">
        <f t="shared" si="7"/>
        <v>58465000</v>
      </c>
    </row>
    <row r="92" spans="1:12" x14ac:dyDescent="0.2">
      <c r="A92" s="208">
        <v>421095</v>
      </c>
      <c r="B92" s="154" t="s">
        <v>387</v>
      </c>
      <c r="C92" s="209"/>
      <c r="D92" s="209">
        <f>+SUMIF('Diario 20x2'!A:A,'BP 311220x2'!A92,'Diario 20x2'!C:C)</f>
        <v>25623500</v>
      </c>
      <c r="E92" s="209">
        <f>+SUMIF('Diario 20x2'!A:A,'BP 311220x2'!A92,'Diario 20x2'!D:D)</f>
        <v>0</v>
      </c>
      <c r="F92" s="209">
        <f>+C92+E92-D92</f>
        <v>-25623500</v>
      </c>
    </row>
    <row r="93" spans="1:12" ht="25.5" x14ac:dyDescent="0.2">
      <c r="A93" s="208">
        <v>431505</v>
      </c>
      <c r="B93" s="154" t="s">
        <v>505</v>
      </c>
      <c r="C93" s="209"/>
      <c r="D93" s="209">
        <f>+SUMIF('Diario 20x2'!A:A,'BP 311220x2'!A93,'Diario 20x2'!C:C)</f>
        <v>0</v>
      </c>
      <c r="E93" s="209">
        <f>+SUMIF('Diario 20x2'!A:A,'BP 311220x2'!A93,'Diario 20x2'!D:D)</f>
        <v>73160000</v>
      </c>
      <c r="F93" s="209">
        <f>+C93+E93-D93</f>
        <v>73160000</v>
      </c>
    </row>
    <row r="94" spans="1:12" x14ac:dyDescent="0.2">
      <c r="A94" s="208">
        <v>425005</v>
      </c>
      <c r="B94" s="154" t="s">
        <v>1080</v>
      </c>
      <c r="C94" s="209"/>
      <c r="D94" s="209">
        <f>+SUMIF('Diario 20x2'!A:A,'BP 311220x2'!A94,'Diario 20x2'!C:C)</f>
        <v>0</v>
      </c>
      <c r="E94" s="209">
        <f>+SUMIF('Diario 20x2'!A:A,'BP 311220x2'!A94,'Diario 20x2'!D:D)</f>
        <v>0</v>
      </c>
      <c r="F94" s="209">
        <f t="shared" si="7"/>
        <v>0</v>
      </c>
    </row>
    <row r="95" spans="1:12" x14ac:dyDescent="0.2">
      <c r="A95" s="208">
        <v>425006</v>
      </c>
      <c r="B95" s="154" t="s">
        <v>1081</v>
      </c>
      <c r="C95" s="209"/>
      <c r="D95" s="209">
        <f>+SUMIF('Diario 20x2'!A:A,'BP 311220x2'!A95,'Diario 20x2'!C:C)</f>
        <v>0</v>
      </c>
      <c r="E95" s="209">
        <f>+SUMIF('Diario 20x2'!A:A,'BP 311220x2'!A95,'Diario 20x2'!D:D)</f>
        <v>168819462.41999996</v>
      </c>
      <c r="F95" s="209">
        <f t="shared" ref="F95" si="8">+C95+E95-D95</f>
        <v>168819462.41999996</v>
      </c>
    </row>
    <row r="96" spans="1:12" x14ac:dyDescent="0.2">
      <c r="A96" s="208">
        <v>421020</v>
      </c>
      <c r="B96" s="154" t="s">
        <v>154</v>
      </c>
      <c r="C96" s="209"/>
      <c r="D96" s="209">
        <f>+SUMIF('Diario 20x2'!A:A,'BP 311220x2'!A96,'Diario 20x2'!C:C)</f>
        <v>0</v>
      </c>
      <c r="E96" s="209">
        <f>+SUMIF('Diario 20x2'!A:A,'BP 311220x2'!A96,'Diario 20x2'!D:D)</f>
        <v>12653000</v>
      </c>
      <c r="F96" s="209">
        <f t="shared" si="7"/>
        <v>12653000</v>
      </c>
    </row>
    <row r="97" spans="1:6" ht="25.5" x14ac:dyDescent="0.2">
      <c r="A97" s="208">
        <v>430505</v>
      </c>
      <c r="B97" s="154" t="s">
        <v>181</v>
      </c>
      <c r="C97" s="209"/>
      <c r="D97" s="209">
        <f>+SUMIF('Diario 20x2'!A:A,'BP 311220x2'!A97,'Diario 20x2'!C:C)</f>
        <v>0</v>
      </c>
      <c r="E97" s="209">
        <f>+SUMIF('Diario 20x2'!A:A,'BP 311220x2'!A97,'Diario 20x2'!D:D)</f>
        <v>363880060</v>
      </c>
      <c r="F97" s="209">
        <f t="shared" si="7"/>
        <v>363880060</v>
      </c>
    </row>
    <row r="98" spans="1:6" ht="25.5" x14ac:dyDescent="0.2">
      <c r="A98" s="208">
        <v>431005</v>
      </c>
      <c r="B98" s="154" t="s">
        <v>182</v>
      </c>
      <c r="C98" s="209"/>
      <c r="D98" s="209">
        <f>+SUMIF('Diario 20x2'!A:A,'BP 311220x2'!A98,'Diario 20x2'!C:C)</f>
        <v>0</v>
      </c>
      <c r="E98" s="209">
        <f>+SUMIF('Diario 20x2'!A:A,'BP 311220x2'!A98,'Diario 20x2'!D:D)</f>
        <v>295000000</v>
      </c>
      <c r="F98" s="209">
        <f t="shared" si="7"/>
        <v>295000000</v>
      </c>
    </row>
    <row r="99" spans="1:6" x14ac:dyDescent="0.2">
      <c r="A99" s="208">
        <v>424505</v>
      </c>
      <c r="B99" s="154" t="s">
        <v>277</v>
      </c>
      <c r="C99" s="209"/>
      <c r="D99" s="209">
        <f>+SUMIF('Diario 20x2'!A:A,'BP 311220x2'!A99,'Diario 20x2'!C:C)</f>
        <v>0</v>
      </c>
      <c r="E99" s="209">
        <f>+SUMIF('Diario 20x2'!A:A,'BP 311220x2'!A99,'Diario 20x2'!D:D)</f>
        <v>0</v>
      </c>
      <c r="F99" s="209">
        <f t="shared" si="7"/>
        <v>0</v>
      </c>
    </row>
    <row r="100" spans="1:6" x14ac:dyDescent="0.2">
      <c r="A100" s="208">
        <v>421505</v>
      </c>
      <c r="B100" s="154" t="s">
        <v>184</v>
      </c>
      <c r="C100" s="209"/>
      <c r="D100" s="209">
        <f>+SUMIF('Diario 20x2'!A:A,'BP 311220x2'!A100,'Diario 20x2'!C:C)</f>
        <v>0</v>
      </c>
      <c r="E100" s="209">
        <f>+SUMIF('Diario 20x2'!A:A,'BP 311220x2'!A100,'Diario 20x2'!D:D)</f>
        <v>15000000</v>
      </c>
      <c r="F100" s="209">
        <f t="shared" si="7"/>
        <v>15000000</v>
      </c>
    </row>
    <row r="101" spans="1:6" x14ac:dyDescent="0.2">
      <c r="A101" s="208">
        <v>422005</v>
      </c>
      <c r="B101" s="154" t="s">
        <v>79</v>
      </c>
      <c r="C101" s="209"/>
      <c r="D101" s="209">
        <f>+SUMIF('Diario 20x2'!A:A,'BP 311220x2'!A101,'Diario 20x2'!C:C)</f>
        <v>0</v>
      </c>
      <c r="E101" s="209">
        <f>+SUMIF('Diario 20x2'!A:A,'BP 311220x2'!A101,'Diario 20x2'!D:D)</f>
        <v>58625000</v>
      </c>
      <c r="F101" s="209">
        <f t="shared" si="7"/>
        <v>58625000</v>
      </c>
    </row>
    <row r="102" spans="1:6" x14ac:dyDescent="0.2">
      <c r="B102" s="33"/>
      <c r="C102" s="220"/>
      <c r="D102" s="220"/>
      <c r="E102" s="220"/>
      <c r="F102" s="220"/>
    </row>
    <row r="103" spans="1:6" x14ac:dyDescent="0.2">
      <c r="B103" s="203" t="s">
        <v>185</v>
      </c>
      <c r="C103" s="212">
        <f t="shared" ref="C103:F103" si="9">SUM(C104:C137)</f>
        <v>0</v>
      </c>
      <c r="D103" s="212">
        <f t="shared" si="9"/>
        <v>25186382599.013691</v>
      </c>
      <c r="E103" s="212">
        <f t="shared" si="9"/>
        <v>622055570</v>
      </c>
      <c r="F103" s="212">
        <f t="shared" si="9"/>
        <v>24564327029.013691</v>
      </c>
    </row>
    <row r="104" spans="1:6" x14ac:dyDescent="0.2">
      <c r="A104" s="208">
        <v>612005</v>
      </c>
      <c r="B104" s="154" t="s">
        <v>281</v>
      </c>
      <c r="C104" s="209"/>
      <c r="D104" s="209">
        <f>+SUMIF('Diario 20x2'!A:A,'BP 311220x2'!A104,'Diario 20x2'!C:C)</f>
        <v>19881142532</v>
      </c>
      <c r="E104" s="209">
        <f>+SUMIF('Diario 20x2'!A:A,'BP 311220x2'!A104,'Diario 20x2'!D:D)</f>
        <v>572030000</v>
      </c>
      <c r="F104" s="209">
        <f>+C104+D104-E104</f>
        <v>19309112532</v>
      </c>
    </row>
    <row r="105" spans="1:6" x14ac:dyDescent="0.2">
      <c r="A105" s="208">
        <v>610505</v>
      </c>
      <c r="B105" s="154" t="s">
        <v>282</v>
      </c>
      <c r="C105" s="209"/>
      <c r="D105" s="209">
        <f>+SUMIF('Diario 20x2'!A:A,'BP 311220x2'!A105,'Diario 20x2'!C:C)</f>
        <v>269000000</v>
      </c>
      <c r="E105" s="209">
        <f>+SUMIF('Diario 20x2'!A:A,'BP 311220x2'!A105,'Diario 20x2'!D:D)</f>
        <v>0</v>
      </c>
      <c r="F105" s="209">
        <f t="shared" ref="F105:F137" si="10">+C105+D105-E105</f>
        <v>269000000</v>
      </c>
    </row>
    <row r="106" spans="1:6" x14ac:dyDescent="0.2">
      <c r="A106" s="208">
        <v>612010</v>
      </c>
      <c r="B106" s="154" t="s">
        <v>396</v>
      </c>
      <c r="C106" s="209"/>
      <c r="D106" s="209">
        <f>+SUMIF('Diario 20x2'!A:A,'BP 311220x2'!A106,'Diario 20x2'!C:C)</f>
        <v>165000000</v>
      </c>
      <c r="E106" s="209">
        <f>+SUMIF('Diario 20x2'!A:A,'BP 311220x2'!A106,'Diario 20x2'!D:D)</f>
        <v>0</v>
      </c>
      <c r="F106" s="209">
        <f t="shared" si="10"/>
        <v>165000000</v>
      </c>
    </row>
    <row r="107" spans="1:6" x14ac:dyDescent="0.2">
      <c r="A107" s="208">
        <v>619810</v>
      </c>
      <c r="B107" s="154" t="s">
        <v>183</v>
      </c>
      <c r="C107" s="209"/>
      <c r="D107" s="209">
        <f>+SUMIF('Diario 20x2'!A:A,'BP 311220x2'!A107,'Diario 20x2'!C:C)</f>
        <v>0</v>
      </c>
      <c r="E107" s="209">
        <f>+SUMIF('Diario 20x2'!A:A,'BP 311220x2'!A107,'Diario 20x2'!D:D)</f>
        <v>36520000</v>
      </c>
      <c r="F107" s="209">
        <f t="shared" si="10"/>
        <v>-36520000</v>
      </c>
    </row>
    <row r="108" spans="1:6" x14ac:dyDescent="0.2">
      <c r="A108" s="208">
        <v>619905</v>
      </c>
      <c r="B108" s="154" t="s">
        <v>284</v>
      </c>
      <c r="C108" s="209"/>
      <c r="D108" s="209">
        <f>+SUMIF('Diario 20x2'!A:A,'BP 311220x2'!A108,'Diario 20x2'!C:C)</f>
        <v>10550000</v>
      </c>
      <c r="E108" s="209">
        <f>+SUMIF('Diario 20x2'!A:A,'BP 311220x2'!A108,'Diario 20x2'!D:D)</f>
        <v>0</v>
      </c>
      <c r="F108" s="209">
        <f t="shared" si="10"/>
        <v>10550000</v>
      </c>
    </row>
    <row r="109" spans="1:6" x14ac:dyDescent="0.2">
      <c r="A109" s="208">
        <v>511505</v>
      </c>
      <c r="B109" s="154" t="s">
        <v>278</v>
      </c>
      <c r="C109" s="209"/>
      <c r="D109" s="209">
        <f>+SUMIF('Diario 20x2'!A:A,'BP 311220x2'!A109,'Diario 20x2'!C:C)</f>
        <v>263254320</v>
      </c>
      <c r="E109" s="209">
        <f>+SUMIF('Diario 20x2'!A:A,'BP 311220x2'!A109,'Diario 20x2'!D:D)</f>
        <v>0</v>
      </c>
      <c r="F109" s="209">
        <f t="shared" si="10"/>
        <v>263254320</v>
      </c>
    </row>
    <row r="110" spans="1:6" x14ac:dyDescent="0.2">
      <c r="A110" s="208">
        <v>510505</v>
      </c>
      <c r="B110" s="154" t="s">
        <v>186</v>
      </c>
      <c r="C110" s="209"/>
      <c r="D110" s="209">
        <f>+SUMIF('Diario 20x2'!A:A,'BP 311220x2'!A110,'Diario 20x2'!C:C)</f>
        <v>299703678</v>
      </c>
      <c r="E110" s="209">
        <f>+SUMIF('Diario 20x2'!A:A,'BP 311220x2'!A110,'Diario 20x2'!D:D)</f>
        <v>0</v>
      </c>
      <c r="F110" s="209">
        <f t="shared" si="10"/>
        <v>299703678</v>
      </c>
    </row>
    <row r="111" spans="1:6" x14ac:dyDescent="0.2">
      <c r="A111" s="208">
        <v>511595</v>
      </c>
      <c r="B111" s="154" t="s">
        <v>280</v>
      </c>
      <c r="C111" s="209"/>
      <c r="D111" s="209">
        <f>+SUMIF('Diario 20x2'!A:A,'BP 311220x2'!A111,'Diario 20x2'!C:C)</f>
        <v>116000000</v>
      </c>
      <c r="E111" s="209">
        <f>+SUMIF('Diario 20x2'!A:A,'BP 311220x2'!A111,'Diario 20x2'!D:D)</f>
        <v>0</v>
      </c>
      <c r="F111" s="209">
        <f t="shared" si="10"/>
        <v>116000000</v>
      </c>
    </row>
    <row r="112" spans="1:6" x14ac:dyDescent="0.2">
      <c r="A112" s="208">
        <v>511515</v>
      </c>
      <c r="B112" s="154" t="s">
        <v>279</v>
      </c>
      <c r="C112" s="209"/>
      <c r="D112" s="209">
        <f>+SUMIF('Diario 20x2'!A:A,'BP 311220x2'!A112,'Diario 20x2'!C:C)</f>
        <v>65000000</v>
      </c>
      <c r="E112" s="209">
        <f>+SUMIF('Diario 20x2'!A:A,'BP 311220x2'!A112,'Diario 20x2'!D:D)</f>
        <v>0</v>
      </c>
      <c r="F112" s="209">
        <f t="shared" si="10"/>
        <v>65000000</v>
      </c>
    </row>
    <row r="113" spans="1:6" x14ac:dyDescent="0.2">
      <c r="A113" s="208">
        <v>511590</v>
      </c>
      <c r="B113" s="154" t="s">
        <v>187</v>
      </c>
      <c r="C113" s="209"/>
      <c r="D113" s="209">
        <f>+SUMIF('Diario 20x2'!A:A,'BP 311220x2'!A113,'Diario 20x2'!C:C)</f>
        <v>12350000</v>
      </c>
      <c r="E113" s="209">
        <f>+SUMIF('Diario 20x2'!A:A,'BP 311220x2'!A113,'Diario 20x2'!D:D)</f>
        <v>0</v>
      </c>
      <c r="F113" s="209">
        <f t="shared" si="10"/>
        <v>12350000</v>
      </c>
    </row>
    <row r="114" spans="1:6" x14ac:dyDescent="0.2">
      <c r="A114" s="208">
        <v>511005</v>
      </c>
      <c r="B114" s="154" t="s">
        <v>230</v>
      </c>
      <c r="C114" s="209"/>
      <c r="D114" s="209">
        <f>+SUMIF('Diario 20x2'!A:A,'BP 311220x2'!A114,'Diario 20x2'!C:C)</f>
        <v>125000000</v>
      </c>
      <c r="E114" s="209">
        <f>+SUMIF('Diario 20x2'!A:A,'BP 311220x2'!A114,'Diario 20x2'!D:D)</f>
        <v>0</v>
      </c>
      <c r="F114" s="209">
        <f t="shared" si="10"/>
        <v>125000000</v>
      </c>
    </row>
    <row r="115" spans="1:6" x14ac:dyDescent="0.2">
      <c r="A115" s="208">
        <v>512005</v>
      </c>
      <c r="B115" s="154" t="s">
        <v>227</v>
      </c>
      <c r="C115" s="209"/>
      <c r="D115" s="209">
        <f>+SUMIF('Diario 20x2'!A:A,'BP 311220x2'!A115,'Diario 20x2'!C:C)</f>
        <v>127560000</v>
      </c>
      <c r="E115" s="209">
        <f>+SUMIF('Diario 20x2'!A:A,'BP 311220x2'!A115,'Diario 20x2'!D:D)</f>
        <v>0</v>
      </c>
      <c r="F115" s="209">
        <f t="shared" si="10"/>
        <v>127560000</v>
      </c>
    </row>
    <row r="116" spans="1:6" x14ac:dyDescent="0.2">
      <c r="A116" s="208">
        <v>513505</v>
      </c>
      <c r="B116" s="154" t="s">
        <v>231</v>
      </c>
      <c r="C116" s="209"/>
      <c r="D116" s="209">
        <f>+SUMIF('Diario 20x2'!A:A,'BP 311220x2'!A116,'Diario 20x2'!C:C)</f>
        <v>652000000</v>
      </c>
      <c r="E116" s="209">
        <f>+SUMIF('Diario 20x2'!A:A,'BP 311220x2'!A116,'Diario 20x2'!D:D)</f>
        <v>0</v>
      </c>
      <c r="F116" s="209">
        <f t="shared" si="10"/>
        <v>652000000</v>
      </c>
    </row>
    <row r="117" spans="1:6" x14ac:dyDescent="0.2">
      <c r="A117" s="208">
        <v>514005</v>
      </c>
      <c r="B117" s="154" t="s">
        <v>222</v>
      </c>
      <c r="C117" s="209"/>
      <c r="D117" s="209">
        <f>+SUMIF('Diario 20x2'!A:A,'BP 311220x2'!A117,'Diario 20x2'!C:C)</f>
        <v>32152000</v>
      </c>
      <c r="E117" s="209">
        <f>+SUMIF('Diario 20x2'!A:A,'BP 311220x2'!A117,'Diario 20x2'!D:D)</f>
        <v>0</v>
      </c>
      <c r="F117" s="209">
        <f t="shared" si="10"/>
        <v>32152000</v>
      </c>
    </row>
    <row r="118" spans="1:6" x14ac:dyDescent="0.2">
      <c r="A118" s="208">
        <v>516005</v>
      </c>
      <c r="B118" s="154" t="s">
        <v>236</v>
      </c>
      <c r="C118" s="209"/>
      <c r="D118" s="209">
        <f>+SUMIF('Diario 20x2'!A:A,'BP 311220x2'!A118,'Diario 20x2'!C:C)</f>
        <v>43505095</v>
      </c>
      <c r="E118" s="209">
        <f>+SUMIF('Diario 20x2'!A:A,'BP 311220x2'!A118,'Diario 20x2'!D:D)</f>
        <v>0</v>
      </c>
      <c r="F118" s="209">
        <f t="shared" ref="F118" si="11">+C118+D118-E118</f>
        <v>43505095</v>
      </c>
    </row>
    <row r="119" spans="1:6" x14ac:dyDescent="0.2">
      <c r="A119" s="208">
        <v>516098</v>
      </c>
      <c r="B119" s="154" t="s">
        <v>1108</v>
      </c>
      <c r="C119" s="209"/>
      <c r="D119" s="209">
        <f>+SUMIF('Diario 20x2'!A:A,'BP 311220x2'!A119,'Diario 20x2'!C:C)</f>
        <v>6190476</v>
      </c>
      <c r="E119" s="209">
        <f>+SUMIF('Diario 20x2'!A:A,'BP 311220x2'!A119,'Diario 20x2'!D:D)</f>
        <v>0</v>
      </c>
      <c r="F119" s="209">
        <f t="shared" ref="F119" si="12">+C119+D119-E119</f>
        <v>6190476</v>
      </c>
    </row>
    <row r="120" spans="1:6" x14ac:dyDescent="0.2">
      <c r="A120" s="208">
        <v>514505</v>
      </c>
      <c r="B120" s="154" t="s">
        <v>188</v>
      </c>
      <c r="C120" s="209"/>
      <c r="D120" s="209">
        <f>+SUMIF('Diario 20x2'!A:A,'BP 311220x2'!A120,'Diario 20x2'!C:C)</f>
        <v>145000000</v>
      </c>
      <c r="E120" s="209">
        <f>+SUMIF('Diario 20x2'!A:A,'BP 311220x2'!A120,'Diario 20x2'!D:D)</f>
        <v>0</v>
      </c>
      <c r="F120" s="209">
        <f t="shared" si="10"/>
        <v>145000000</v>
      </c>
    </row>
    <row r="121" spans="1:6" x14ac:dyDescent="0.2">
      <c r="A121" s="208">
        <v>513005</v>
      </c>
      <c r="B121" s="154" t="s">
        <v>189</v>
      </c>
      <c r="C121" s="209"/>
      <c r="D121" s="209">
        <f>+SUMIF('Diario 20x2'!A:A,'BP 311220x2'!A121,'Diario 20x2'!C:C)</f>
        <v>42020000</v>
      </c>
      <c r="E121" s="209">
        <f>+SUMIF('Diario 20x2'!A:A,'BP 311220x2'!A121,'Diario 20x2'!D:D)</f>
        <v>0</v>
      </c>
      <c r="F121" s="209">
        <f t="shared" si="10"/>
        <v>42020000</v>
      </c>
    </row>
    <row r="122" spans="1:6" x14ac:dyDescent="0.2">
      <c r="A122" s="208">
        <v>515505</v>
      </c>
      <c r="B122" s="154" t="s">
        <v>218</v>
      </c>
      <c r="C122" s="209"/>
      <c r="D122" s="209">
        <f>+SUMIF('Diario 20x2'!A:A,'BP 311220x2'!A122,'Diario 20x2'!C:C)</f>
        <v>75026000</v>
      </c>
      <c r="E122" s="209">
        <f>+SUMIF('Diario 20x2'!A:A,'BP 311220x2'!A122,'Diario 20x2'!D:D)</f>
        <v>0</v>
      </c>
      <c r="F122" s="209">
        <f t="shared" si="10"/>
        <v>75026000</v>
      </c>
    </row>
    <row r="123" spans="1:6" x14ac:dyDescent="0.2">
      <c r="A123" s="208">
        <v>519510</v>
      </c>
      <c r="B123" s="154" t="s">
        <v>228</v>
      </c>
      <c r="C123" s="209"/>
      <c r="D123" s="209">
        <f>+SUMIF('Diario 20x2'!A:A,'BP 311220x2'!A123,'Diario 20x2'!C:C)</f>
        <v>26046000</v>
      </c>
      <c r="E123" s="209">
        <f>+SUMIF('Diario 20x2'!A:A,'BP 311220x2'!A123,'Diario 20x2'!D:D)</f>
        <v>0</v>
      </c>
      <c r="F123" s="209">
        <f t="shared" si="10"/>
        <v>26046000</v>
      </c>
    </row>
    <row r="124" spans="1:6" x14ac:dyDescent="0.2">
      <c r="A124" s="208">
        <v>516505</v>
      </c>
      <c r="B124" s="154" t="s">
        <v>229</v>
      </c>
      <c r="C124" s="209"/>
      <c r="D124" s="209">
        <f>+SUMIF('Diario 20x2'!A:A,'BP 311220x2'!A124,'Diario 20x2'!C:C)</f>
        <v>0</v>
      </c>
      <c r="E124" s="209">
        <f>+SUMIF('Diario 20x2'!A:A,'BP 311220x2'!A124,'Diario 20x2'!D:D)</f>
        <v>0</v>
      </c>
      <c r="F124" s="209">
        <f t="shared" si="10"/>
        <v>0</v>
      </c>
    </row>
    <row r="125" spans="1:6" x14ac:dyDescent="0.2">
      <c r="A125" s="208">
        <v>519530</v>
      </c>
      <c r="B125" s="154" t="s">
        <v>397</v>
      </c>
      <c r="C125" s="209"/>
      <c r="D125" s="209">
        <f>+SUMIF('Diario 20x2'!A:A,'BP 311220x2'!A125,'Diario 20x2'!C:C)</f>
        <v>65321000</v>
      </c>
      <c r="E125" s="209">
        <f>+SUMIF('Diario 20x2'!A:A,'BP 311220x2'!A125,'Diario 20x2'!D:D)</f>
        <v>0</v>
      </c>
      <c r="F125" s="209">
        <f t="shared" si="10"/>
        <v>65321000</v>
      </c>
    </row>
    <row r="126" spans="1:6" x14ac:dyDescent="0.2">
      <c r="A126" s="208">
        <v>519585</v>
      </c>
      <c r="B126" s="154" t="s">
        <v>232</v>
      </c>
      <c r="C126" s="209"/>
      <c r="D126" s="209">
        <f>+SUMIF('Diario 20x2'!A:A,'BP 311220x2'!A126,'Diario 20x2'!C:C)</f>
        <v>45826000</v>
      </c>
      <c r="E126" s="209">
        <f>+SUMIF('Diario 20x2'!A:A,'BP 311220x2'!A126,'Diario 20x2'!D:D)</f>
        <v>0</v>
      </c>
      <c r="F126" s="209">
        <f t="shared" si="10"/>
        <v>45826000</v>
      </c>
    </row>
    <row r="127" spans="1:6" x14ac:dyDescent="0.2">
      <c r="A127" s="208">
        <v>539505</v>
      </c>
      <c r="B127" s="154" t="s">
        <v>283</v>
      </c>
      <c r="C127" s="209"/>
      <c r="D127" s="209">
        <f>+SUMIF('Diario 20x2'!A:A,'BP 311220x2'!A127,'Diario 20x2'!C:C)</f>
        <v>62954000</v>
      </c>
      <c r="E127" s="209">
        <f>+SUMIF('Diario 20x2'!A:A,'BP 311220x2'!A127,'Diario 20x2'!D:D)</f>
        <v>13505570</v>
      </c>
      <c r="F127" s="209">
        <f t="shared" si="10"/>
        <v>49448430</v>
      </c>
    </row>
    <row r="128" spans="1:6" x14ac:dyDescent="0.2">
      <c r="A128" s="208">
        <v>516510</v>
      </c>
      <c r="B128" s="154" t="s">
        <v>190</v>
      </c>
      <c r="C128" s="209"/>
      <c r="D128" s="209">
        <f>+SUMIF('Diario 20x2'!A:A,'BP 311220x2'!A128,'Diario 20x2'!C:C)</f>
        <v>13000000</v>
      </c>
      <c r="E128" s="209">
        <f>+SUMIF('Diario 20x2'!A:A,'BP 311220x2'!A128,'Diario 20x2'!D:D)</f>
        <v>0</v>
      </c>
      <c r="F128" s="209">
        <f t="shared" si="10"/>
        <v>13000000</v>
      </c>
    </row>
    <row r="129" spans="1:6" x14ac:dyDescent="0.2">
      <c r="A129" s="208">
        <v>519905</v>
      </c>
      <c r="B129" s="154" t="s">
        <v>1078</v>
      </c>
      <c r="C129" s="209"/>
      <c r="D129" s="209">
        <f>+SUMIF('Diario 20x2'!A:A,'BP 311220x2'!A129,'Diario 20x2'!C:C)</f>
        <v>157822676.41999996</v>
      </c>
      <c r="E129" s="209">
        <f>+SUMIF('Diario 20x2'!A:A,'BP 311220x2'!A129,'Diario 20x2'!D:D)</f>
        <v>0</v>
      </c>
      <c r="F129" s="209">
        <f t="shared" ref="F129" si="13">+C129+D129-E129</f>
        <v>157822676.41999996</v>
      </c>
    </row>
    <row r="130" spans="1:6" x14ac:dyDescent="0.2">
      <c r="A130" s="208">
        <v>519906</v>
      </c>
      <c r="B130" s="154" t="s">
        <v>1079</v>
      </c>
      <c r="C130" s="209"/>
      <c r="D130" s="209">
        <f>+SUMIF('Diario 20x2'!A:A,'BP 311220x2'!A130,'Diario 20x2'!C:C)</f>
        <v>0</v>
      </c>
      <c r="E130" s="209">
        <f>+SUMIF('Diario 20x2'!A:A,'BP 311220x2'!A130,'Diario 20x2'!D:D)</f>
        <v>0</v>
      </c>
      <c r="F130" s="209">
        <f t="shared" ref="F130" si="14">+C130+D130-E130</f>
        <v>0</v>
      </c>
    </row>
    <row r="131" spans="1:6" x14ac:dyDescent="0.2">
      <c r="A131" s="208">
        <v>530505</v>
      </c>
      <c r="B131" s="154" t="s">
        <v>285</v>
      </c>
      <c r="C131" s="209"/>
      <c r="D131" s="209">
        <f>+SUMIF('Diario 20x2'!A:A,'BP 311220x2'!A131,'Diario 20x2'!C:C)</f>
        <v>12526000</v>
      </c>
      <c r="E131" s="209">
        <f>+SUMIF('Diario 20x2'!A:A,'BP 311220x2'!A131,'Diario 20x2'!D:D)</f>
        <v>0</v>
      </c>
      <c r="F131" s="209">
        <f t="shared" si="10"/>
        <v>12526000</v>
      </c>
    </row>
    <row r="132" spans="1:6" x14ac:dyDescent="0.2">
      <c r="A132" s="208">
        <v>530520</v>
      </c>
      <c r="B132" s="154" t="s">
        <v>151</v>
      </c>
      <c r="C132" s="209"/>
      <c r="D132" s="209">
        <f>+SUMIF('Diario 20x2'!A:A,'BP 311220x2'!A132,'Diario 20x2'!C:C)</f>
        <v>316532820</v>
      </c>
      <c r="E132" s="209">
        <f>+SUMIF('Diario 20x2'!A:A,'BP 311220x2'!A132,'Diario 20x2'!D:D)</f>
        <v>0</v>
      </c>
      <c r="F132" s="209">
        <f t="shared" si="10"/>
        <v>316532820</v>
      </c>
    </row>
    <row r="133" spans="1:6" x14ac:dyDescent="0.2">
      <c r="A133" s="208">
        <v>530521</v>
      </c>
      <c r="B133" s="154" t="s">
        <v>392</v>
      </c>
      <c r="C133" s="209"/>
      <c r="D133" s="209">
        <f>+SUMIF('Diario 20x2'!A:A,'BP 311220x2'!A133,'Diario 20x2'!C:C)</f>
        <v>14858661</v>
      </c>
      <c r="E133" s="209">
        <f>+SUMIF('Diario 20x2'!A:A,'BP 311220x2'!A133,'Diario 20x2'!D:D)</f>
        <v>0</v>
      </c>
      <c r="F133" s="209">
        <f t="shared" ref="F133" si="15">+C133+D133-E133</f>
        <v>14858661</v>
      </c>
    </row>
    <row r="134" spans="1:6" x14ac:dyDescent="0.2">
      <c r="A134" s="208">
        <v>530522</v>
      </c>
      <c r="B134" s="154" t="s">
        <v>391</v>
      </c>
      <c r="C134" s="209"/>
      <c r="D134" s="209">
        <f>+SUMIF('Diario 20x2'!A:A,'BP 311220x2'!A134,'Diario 20x2'!C:C)</f>
        <v>24373550</v>
      </c>
      <c r="E134" s="209">
        <f>+SUMIF('Diario 20x2'!A:A,'BP 311220x2'!A134,'Diario 20x2'!D:D)</f>
        <v>0</v>
      </c>
      <c r="F134" s="209">
        <f t="shared" ref="F134" si="16">+C134+D134-E134</f>
        <v>24373550</v>
      </c>
    </row>
    <row r="135" spans="1:6" x14ac:dyDescent="0.2">
      <c r="A135" s="208">
        <v>540505</v>
      </c>
      <c r="B135" s="154" t="s">
        <v>286</v>
      </c>
      <c r="C135" s="209"/>
      <c r="D135" s="209">
        <f>+SUMIF('Diario 20x2'!A:A,'BP 311220x2'!A135,'Diario 20x2'!C:C)</f>
        <v>1826523000</v>
      </c>
      <c r="E135" s="209">
        <f>+SUMIF('Diario 20x2'!A:A,'BP 311220x2'!A135,'Diario 20x2'!D:D)</f>
        <v>0</v>
      </c>
      <c r="F135" s="209">
        <f t="shared" si="10"/>
        <v>1826523000</v>
      </c>
    </row>
    <row r="136" spans="1:6" x14ac:dyDescent="0.2">
      <c r="A136" s="208">
        <v>540510</v>
      </c>
      <c r="B136" s="154" t="s">
        <v>192</v>
      </c>
      <c r="C136" s="209"/>
      <c r="D136" s="209">
        <f>+SUMIF('Diario 20x2'!A:A,'BP 311220x2'!A136,'Diario 20x2'!C:C)</f>
        <v>290144790.59369111</v>
      </c>
      <c r="E136" s="209">
        <f>+SUMIF('Diario 20x2'!A:A,'BP 311220x2'!A136,'Diario 20x2'!D:D)</f>
        <v>0</v>
      </c>
      <c r="F136" s="209">
        <f t="shared" si="10"/>
        <v>290144790.59369111</v>
      </c>
    </row>
    <row r="137" spans="1:6" x14ac:dyDescent="0.2">
      <c r="A137" s="208">
        <v>540515</v>
      </c>
      <c r="B137" s="154" t="s">
        <v>1109</v>
      </c>
      <c r="C137" s="212"/>
      <c r="D137" s="209">
        <f>+SUMIF('Diario 20x2'!A:A,'BP 311220x2'!A137,'Diario 20x2'!C:C)</f>
        <v>0</v>
      </c>
      <c r="E137" s="209">
        <f>+SUMIF('Diario 20x2'!A:A,'BP 311220x2'!A137,'Diario 20x2'!D:D)</f>
        <v>0</v>
      </c>
      <c r="F137" s="209">
        <f t="shared" si="10"/>
        <v>0</v>
      </c>
    </row>
    <row r="138" spans="1:6" x14ac:dyDescent="0.2">
      <c r="B138" s="203" t="s">
        <v>193</v>
      </c>
      <c r="C138" s="211">
        <f>+C85-C103</f>
        <v>0</v>
      </c>
      <c r="D138" s="211">
        <f>+D85+D103</f>
        <v>25372006099.013691</v>
      </c>
      <c r="E138" s="211">
        <f>+E85+E103</f>
        <v>29160952092.419998</v>
      </c>
      <c r="F138" s="211">
        <f>+F85-F103</f>
        <v>3788945993.4063072</v>
      </c>
    </row>
    <row r="140" spans="1:6" x14ac:dyDescent="0.2">
      <c r="F140" s="112"/>
    </row>
    <row r="142" spans="1:6" x14ac:dyDescent="0.2">
      <c r="B142" s="221" t="s">
        <v>223</v>
      </c>
      <c r="C142" s="222"/>
      <c r="D142" s="223">
        <f>SUM(D143:D150)</f>
        <v>19880742532</v>
      </c>
      <c r="E142" s="223">
        <f>SUM(E143:E150)</f>
        <v>19880742532</v>
      </c>
      <c r="F142" s="223">
        <f>SUM(F143:F150)</f>
        <v>0</v>
      </c>
    </row>
    <row r="143" spans="1:6" x14ac:dyDescent="0.2">
      <c r="A143" s="208">
        <v>799999</v>
      </c>
      <c r="B143" s="208" t="s">
        <v>224</v>
      </c>
      <c r="C143" s="209"/>
      <c r="D143" s="209">
        <f>+SUMIF('Diario 20x2'!A:A,'BP 311220x2'!A143,'Diario 20x2'!C:C)</f>
        <v>0</v>
      </c>
      <c r="E143" s="209">
        <f>+SUMIF('Diario 20x2'!A:A,'BP 311220x2'!A143,'Diario 20x2'!D:D)</f>
        <v>19301592532</v>
      </c>
      <c r="F143" s="209">
        <f>+C143+D143-E143</f>
        <v>-19301592532</v>
      </c>
    </row>
    <row r="144" spans="1:6" x14ac:dyDescent="0.2">
      <c r="A144" s="208">
        <v>710505</v>
      </c>
      <c r="B144" s="208" t="s">
        <v>225</v>
      </c>
      <c r="C144" s="209"/>
      <c r="D144" s="209">
        <f>+SUMIF('Diario 20x2'!A:A,'BP 311220x2'!A144,'Diario 20x2'!C:C)</f>
        <v>11527790000</v>
      </c>
      <c r="E144" s="209">
        <f>+SUMIF('Diario 20x2'!A:A,'BP 311220x2'!A144,'Diario 20x2'!D:D)</f>
        <v>579150000</v>
      </c>
      <c r="F144" s="209">
        <f t="shared" ref="F144:F150" si="17">+C144+D144-E144</f>
        <v>10948640000</v>
      </c>
    </row>
    <row r="145" spans="1:6" x14ac:dyDescent="0.2">
      <c r="A145" s="208">
        <v>736005</v>
      </c>
      <c r="B145" s="208" t="s">
        <v>221</v>
      </c>
      <c r="C145" s="209"/>
      <c r="D145" s="209">
        <f>+SUMIF('Diario 20x2'!A:A,'BP 311220x2'!A145,'Diario 20x2'!C:C)</f>
        <v>204776532</v>
      </c>
      <c r="E145" s="209">
        <f>+SUMIF('Diario 20x2'!A:A,'BP 311220x2'!A145,'Diario 20x2'!D:D)</f>
        <v>0</v>
      </c>
      <c r="F145" s="209">
        <f t="shared" si="17"/>
        <v>204776532</v>
      </c>
    </row>
    <row r="146" spans="1:6" x14ac:dyDescent="0.2">
      <c r="A146" s="208">
        <v>736098</v>
      </c>
      <c r="B146" s="208" t="s">
        <v>1107</v>
      </c>
      <c r="C146" s="209"/>
      <c r="D146" s="209">
        <f>+SUMIF('Diario 20x2'!A:A,'BP 311220x2'!A146,'Diario 20x2'!C:C)</f>
        <v>-73350000</v>
      </c>
      <c r="E146" s="209">
        <f>+SUMIF('Diario 20x2'!A:A,'BP 311220x2'!A146,'Diario 20x2'!D:D)</f>
        <v>0</v>
      </c>
      <c r="F146" s="209">
        <f t="shared" ref="F146" si="18">+C146+D146-E146</f>
        <v>-73350000</v>
      </c>
    </row>
    <row r="147" spans="1:6" x14ac:dyDescent="0.2">
      <c r="A147" s="208">
        <v>733005</v>
      </c>
      <c r="B147" s="208" t="s">
        <v>226</v>
      </c>
      <c r="C147" s="209"/>
      <c r="D147" s="209">
        <f>+SUMIF('Diario 20x2'!A:A,'BP 311220x2'!A147,'Diario 20x2'!C:C)</f>
        <v>456526000</v>
      </c>
      <c r="E147" s="209">
        <f>+SUMIF('Diario 20x2'!A:A,'BP 311220x2'!A147,'Diario 20x2'!D:D)</f>
        <v>0</v>
      </c>
      <c r="F147" s="209">
        <f t="shared" si="17"/>
        <v>456526000</v>
      </c>
    </row>
    <row r="148" spans="1:6" x14ac:dyDescent="0.2">
      <c r="A148" s="208">
        <v>720505</v>
      </c>
      <c r="B148" s="208" t="s">
        <v>233</v>
      </c>
      <c r="C148" s="209"/>
      <c r="D148" s="209">
        <f>+SUMIF('Diario 20x2'!A:A,'BP 311220x2'!A148,'Diario 20x2'!C:C)</f>
        <v>5950000000</v>
      </c>
      <c r="E148" s="209">
        <f>+SUMIF('Diario 20x2'!A:A,'BP 311220x2'!A148,'Diario 20x2'!D:D)</f>
        <v>0</v>
      </c>
      <c r="F148" s="209">
        <f t="shared" si="17"/>
        <v>5950000000</v>
      </c>
    </row>
    <row r="149" spans="1:6" x14ac:dyDescent="0.2">
      <c r="A149" s="208">
        <v>738005</v>
      </c>
      <c r="B149" s="208" t="s">
        <v>367</v>
      </c>
      <c r="C149" s="209"/>
      <c r="D149" s="209">
        <f>+SUMIF('Diario 20x2'!A:A,'BP 311220x2'!A149,'Diario 20x2'!C:C)</f>
        <v>1815000000</v>
      </c>
      <c r="E149" s="209">
        <f>+SUMIF('Diario 20x2'!A:A,'BP 311220x2'!A149,'Diario 20x2'!D:D)</f>
        <v>0</v>
      </c>
      <c r="F149" s="209">
        <f t="shared" si="17"/>
        <v>1815000000</v>
      </c>
    </row>
    <row r="150" spans="1:6" x14ac:dyDescent="0.2">
      <c r="B150" s="208"/>
      <c r="C150" s="209"/>
      <c r="D150" s="209"/>
      <c r="E150" s="209"/>
      <c r="F150" s="209">
        <f t="shared" si="17"/>
        <v>0</v>
      </c>
    </row>
  </sheetData>
  <hyperlinks>
    <hyperlink ref="F2" r:id="rId1" xr:uid="{00000000-0004-0000-0200-000000000000}"/>
  </hyperlinks>
  <pageMargins left="0.39370078740157483" right="0.39370078740157483" top="0.39370078740157483" bottom="0.39370078740157483" header="0" footer="0"/>
  <pageSetup scale="64" orientation="landscape" horizontalDpi="120" verticalDpi="144"/>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362"/>
  <sheetViews>
    <sheetView showGridLines="0" zoomScale="140" zoomScaleNormal="140" workbookViewId="0">
      <pane ySplit="1" topLeftCell="A105" activePane="bottomLeft" state="frozen"/>
      <selection pane="bottomLeft" activeCell="B345" sqref="B345"/>
    </sheetView>
  </sheetViews>
  <sheetFormatPr baseColWidth="10" defaultRowHeight="12.75" x14ac:dyDescent="0.2"/>
  <cols>
    <col min="1" max="1" width="8.7109375" style="227" customWidth="1"/>
    <col min="2" max="2" width="41.7109375" style="229" customWidth="1"/>
    <col min="3" max="4" width="20" style="230" customWidth="1"/>
    <col min="5" max="5" width="11.42578125" style="229" customWidth="1"/>
    <col min="6" max="6" width="14.42578125" style="229" bestFit="1" customWidth="1"/>
    <col min="7" max="8" width="11.42578125" style="229"/>
    <col min="9" max="9" width="16.42578125" style="229" customWidth="1"/>
    <col min="10" max="10" width="16.5703125" style="229" customWidth="1"/>
    <col min="11" max="12" width="11.42578125" style="229"/>
    <col min="13" max="14" width="16" style="229" bestFit="1" customWidth="1"/>
    <col min="15" max="16384" width="11.42578125" style="229"/>
  </cols>
  <sheetData>
    <row r="1" spans="1:5" s="189" customFormat="1" x14ac:dyDescent="0.2">
      <c r="A1" s="225"/>
      <c r="B1" s="187"/>
      <c r="C1" s="226"/>
      <c r="D1" s="226"/>
      <c r="E1" s="187"/>
    </row>
    <row r="4" spans="1:5" x14ac:dyDescent="0.2">
      <c r="B4" s="12" t="s">
        <v>1008</v>
      </c>
      <c r="C4" s="228"/>
      <c r="D4" s="228"/>
    </row>
    <row r="5" spans="1:5" x14ac:dyDescent="0.2">
      <c r="B5" s="6"/>
    </row>
    <row r="6" spans="1:5" x14ac:dyDescent="0.2">
      <c r="A6" s="231"/>
      <c r="B6" s="23" t="s">
        <v>295</v>
      </c>
      <c r="C6" s="232"/>
      <c r="D6" s="232"/>
    </row>
    <row r="7" spans="1:5" x14ac:dyDescent="0.2">
      <c r="A7" s="155"/>
      <c r="B7" s="156"/>
      <c r="C7" s="106" t="s">
        <v>168</v>
      </c>
      <c r="D7" s="106" t="s">
        <v>169</v>
      </c>
    </row>
    <row r="8" spans="1:5" x14ac:dyDescent="0.2">
      <c r="A8" s="248">
        <v>412005</v>
      </c>
      <c r="B8" s="156" t="s">
        <v>274</v>
      </c>
      <c r="C8" s="233"/>
      <c r="D8" s="233">
        <v>28976000000</v>
      </c>
    </row>
    <row r="9" spans="1:5" x14ac:dyDescent="0.2">
      <c r="A9" s="248">
        <v>410505</v>
      </c>
      <c r="B9" s="156" t="s">
        <v>275</v>
      </c>
      <c r="C9" s="233"/>
      <c r="D9" s="233">
        <v>516000000</v>
      </c>
    </row>
    <row r="10" spans="1:5" x14ac:dyDescent="0.2">
      <c r="A10" s="248">
        <v>413505</v>
      </c>
      <c r="B10" s="156" t="s">
        <v>210</v>
      </c>
      <c r="C10" s="233"/>
      <c r="D10" s="233">
        <v>615000000</v>
      </c>
    </row>
    <row r="11" spans="1:5" x14ac:dyDescent="0.2">
      <c r="A11" s="248">
        <v>417505</v>
      </c>
      <c r="B11" s="156" t="s">
        <v>300</v>
      </c>
      <c r="C11" s="233">
        <v>145678000</v>
      </c>
      <c r="D11" s="233"/>
    </row>
    <row r="12" spans="1:5" x14ac:dyDescent="0.2">
      <c r="A12" s="248">
        <v>240801</v>
      </c>
      <c r="B12" s="156" t="s">
        <v>332</v>
      </c>
      <c r="C12" s="233"/>
      <c r="D12" s="233">
        <f>+D8*0.16</f>
        <v>4636160000</v>
      </c>
    </row>
    <row r="13" spans="1:5" x14ac:dyDescent="0.2">
      <c r="A13" s="248">
        <v>130505</v>
      </c>
      <c r="B13" s="156" t="s">
        <v>398</v>
      </c>
      <c r="C13" s="233">
        <f>+Clientes!D124</f>
        <v>1252356200</v>
      </c>
      <c r="D13" s="233"/>
    </row>
    <row r="14" spans="1:5" x14ac:dyDescent="0.2">
      <c r="A14" s="248">
        <v>130505</v>
      </c>
      <c r="B14" s="156" t="s">
        <v>215</v>
      </c>
      <c r="C14" s="233">
        <f>+Clientes!D125</f>
        <v>915254000</v>
      </c>
      <c r="D14" s="233"/>
    </row>
    <row r="15" spans="1:5" x14ac:dyDescent="0.2">
      <c r="A15" s="248">
        <v>135515</v>
      </c>
      <c r="B15" s="156" t="s">
        <v>216</v>
      </c>
      <c r="C15" s="233">
        <f>+D8*2.5/100+D9*1.5/100+D10*0.02</f>
        <v>744440000</v>
      </c>
      <c r="D15" s="233"/>
    </row>
    <row r="16" spans="1:5" x14ac:dyDescent="0.2">
      <c r="A16" s="248">
        <v>111005</v>
      </c>
      <c r="B16" s="156" t="s">
        <v>88</v>
      </c>
      <c r="C16" s="233">
        <f>+D8+D9+D10-C11-C13-C14-C15+D12</f>
        <v>31685431800</v>
      </c>
      <c r="D16" s="233"/>
    </row>
    <row r="17" spans="1:4" x14ac:dyDescent="0.2">
      <c r="B17" s="6"/>
      <c r="C17" s="107">
        <f>SUM(C8:C16)</f>
        <v>34743160000</v>
      </c>
      <c r="D17" s="107">
        <f>SUM(D8:D16)</f>
        <v>34743160000</v>
      </c>
    </row>
    <row r="18" spans="1:4" x14ac:dyDescent="0.2">
      <c r="B18" s="6"/>
    </row>
    <row r="19" spans="1:4" x14ac:dyDescent="0.2">
      <c r="B19" s="6"/>
      <c r="C19" s="107"/>
      <c r="D19" s="107"/>
    </row>
    <row r="20" spans="1:4" x14ac:dyDescent="0.2">
      <c r="B20" s="6"/>
      <c r="C20" s="107"/>
      <c r="D20" s="107"/>
    </row>
    <row r="21" spans="1:4" x14ac:dyDescent="0.2">
      <c r="A21" s="231"/>
      <c r="B21" s="23" t="s">
        <v>302</v>
      </c>
      <c r="C21" s="232"/>
      <c r="D21" s="232"/>
    </row>
    <row r="22" spans="1:4" x14ac:dyDescent="0.2">
      <c r="A22" s="155"/>
      <c r="B22" s="156"/>
      <c r="C22" s="106" t="s">
        <v>168</v>
      </c>
      <c r="D22" s="106" t="s">
        <v>169</v>
      </c>
    </row>
    <row r="23" spans="1:4" x14ac:dyDescent="0.2">
      <c r="A23" s="248">
        <v>130505</v>
      </c>
      <c r="B23" s="156" t="s">
        <v>398</v>
      </c>
      <c r="C23" s="233"/>
      <c r="D23" s="233">
        <f>+Clientes!D124</f>
        <v>1252356200</v>
      </c>
    </row>
    <row r="24" spans="1:4" x14ac:dyDescent="0.2">
      <c r="A24" s="248">
        <v>130505</v>
      </c>
      <c r="B24" s="156" t="s">
        <v>215</v>
      </c>
      <c r="C24" s="233"/>
      <c r="D24" s="233">
        <f>+Clientes!D125</f>
        <v>915254000</v>
      </c>
    </row>
    <row r="25" spans="1:4" x14ac:dyDescent="0.2">
      <c r="A25" s="248">
        <v>130505</v>
      </c>
      <c r="B25" s="156" t="s">
        <v>217</v>
      </c>
      <c r="C25" s="233"/>
      <c r="D25" s="233">
        <f>+Clientes!I121</f>
        <v>27049126</v>
      </c>
    </row>
    <row r="26" spans="1:4" x14ac:dyDescent="0.2">
      <c r="A26" s="248">
        <v>111005</v>
      </c>
      <c r="B26" s="156" t="s">
        <v>89</v>
      </c>
      <c r="C26" s="233">
        <f>+D23+D24+D25</f>
        <v>2194659326</v>
      </c>
      <c r="D26" s="233"/>
    </row>
    <row r="27" spans="1:4" x14ac:dyDescent="0.2">
      <c r="B27" s="6"/>
      <c r="C27" s="107">
        <f>SUM(C23:C26)</f>
        <v>2194659326</v>
      </c>
      <c r="D27" s="107">
        <f>SUM(D23:D26)</f>
        <v>2194659326</v>
      </c>
    </row>
    <row r="28" spans="1:4" x14ac:dyDescent="0.2">
      <c r="B28" s="6"/>
    </row>
    <row r="29" spans="1:4" x14ac:dyDescent="0.2">
      <c r="B29" s="6"/>
    </row>
    <row r="30" spans="1:4" x14ac:dyDescent="0.2">
      <c r="B30" s="6"/>
    </row>
    <row r="31" spans="1:4" x14ac:dyDescent="0.2">
      <c r="A31" s="231"/>
      <c r="B31" s="23" t="s">
        <v>986</v>
      </c>
      <c r="C31" s="232"/>
      <c r="D31" s="232"/>
    </row>
    <row r="32" spans="1:4" x14ac:dyDescent="0.2">
      <c r="A32" s="155"/>
      <c r="B32" s="156"/>
      <c r="C32" s="106" t="s">
        <v>168</v>
      </c>
      <c r="D32" s="106" t="s">
        <v>169</v>
      </c>
    </row>
    <row r="33" spans="1:4" x14ac:dyDescent="0.2">
      <c r="A33" s="248">
        <v>111010</v>
      </c>
      <c r="B33" s="156" t="s">
        <v>239</v>
      </c>
      <c r="C33" s="233">
        <v>11634000</v>
      </c>
      <c r="D33" s="233"/>
    </row>
    <row r="34" spans="1:4" x14ac:dyDescent="0.2">
      <c r="A34" s="248">
        <v>421020</v>
      </c>
      <c r="B34" s="156" t="s">
        <v>154</v>
      </c>
      <c r="C34" s="233"/>
      <c r="D34" s="233">
        <f>+C33</f>
        <v>11634000</v>
      </c>
    </row>
    <row r="35" spans="1:4" x14ac:dyDescent="0.2">
      <c r="A35" s="248">
        <v>124505</v>
      </c>
      <c r="B35" s="156" t="s">
        <v>130</v>
      </c>
      <c r="C35" s="233">
        <v>1145000</v>
      </c>
      <c r="D35" s="233"/>
    </row>
    <row r="36" spans="1:4" x14ac:dyDescent="0.2">
      <c r="A36" s="248">
        <v>421005</v>
      </c>
      <c r="B36" s="156" t="s">
        <v>303</v>
      </c>
      <c r="C36" s="233"/>
      <c r="D36" s="233">
        <f>+C35</f>
        <v>1145000</v>
      </c>
    </row>
    <row r="37" spans="1:4" x14ac:dyDescent="0.2">
      <c r="B37" s="6"/>
      <c r="C37" s="107">
        <f>SUM(C33:C36)</f>
        <v>12779000</v>
      </c>
      <c r="D37" s="107">
        <f>SUM(D33:D36)</f>
        <v>12779000</v>
      </c>
    </row>
    <row r="38" spans="1:4" x14ac:dyDescent="0.2">
      <c r="B38" s="6"/>
    </row>
    <row r="39" spans="1:4" x14ac:dyDescent="0.2">
      <c r="B39" s="6"/>
    </row>
    <row r="40" spans="1:4" x14ac:dyDescent="0.2">
      <c r="A40" s="231"/>
      <c r="B40" s="23" t="s">
        <v>304</v>
      </c>
      <c r="C40" s="232"/>
      <c r="D40" s="232"/>
    </row>
    <row r="41" spans="1:4" x14ac:dyDescent="0.2">
      <c r="A41" s="155"/>
      <c r="B41" s="156"/>
      <c r="C41" s="106" t="s">
        <v>168</v>
      </c>
      <c r="D41" s="106" t="s">
        <v>169</v>
      </c>
    </row>
    <row r="42" spans="1:4" x14ac:dyDescent="0.2">
      <c r="A42" s="248">
        <v>421505</v>
      </c>
      <c r="B42" s="156" t="s">
        <v>305</v>
      </c>
      <c r="C42" s="233"/>
      <c r="D42" s="233">
        <f>+Acciones!E83</f>
        <v>22000000</v>
      </c>
    </row>
    <row r="43" spans="1:4" x14ac:dyDescent="0.2">
      <c r="A43" s="248">
        <v>421505</v>
      </c>
      <c r="B43" s="156" t="s">
        <v>306</v>
      </c>
      <c r="C43" s="233"/>
      <c r="D43" s="233">
        <f>+Acciones!E85</f>
        <v>0</v>
      </c>
    </row>
    <row r="44" spans="1:4" x14ac:dyDescent="0.2">
      <c r="A44" s="248">
        <v>111005</v>
      </c>
      <c r="B44" s="156" t="s">
        <v>89</v>
      </c>
      <c r="C44" s="233">
        <f>+D42+D43</f>
        <v>22000000</v>
      </c>
      <c r="D44" s="233"/>
    </row>
    <row r="45" spans="1:4" x14ac:dyDescent="0.2">
      <c r="B45" s="6"/>
    </row>
    <row r="46" spans="1:4" x14ac:dyDescent="0.2">
      <c r="B46" s="6"/>
    </row>
    <row r="47" spans="1:4" x14ac:dyDescent="0.2">
      <c r="B47" s="6"/>
    </row>
    <row r="48" spans="1:4" x14ac:dyDescent="0.2">
      <c r="B48" s="6"/>
    </row>
    <row r="49" spans="1:4" x14ac:dyDescent="0.2">
      <c r="A49" s="231"/>
      <c r="B49" s="23" t="s">
        <v>307</v>
      </c>
      <c r="C49" s="232"/>
      <c r="D49" s="232"/>
    </row>
    <row r="50" spans="1:4" x14ac:dyDescent="0.2">
      <c r="A50" s="155"/>
      <c r="B50" s="156"/>
      <c r="C50" s="106" t="s">
        <v>168</v>
      </c>
      <c r="D50" s="106" t="s">
        <v>169</v>
      </c>
    </row>
    <row r="51" spans="1:4" x14ac:dyDescent="0.2">
      <c r="A51" s="248">
        <v>111006</v>
      </c>
      <c r="B51" s="156" t="s">
        <v>88</v>
      </c>
      <c r="C51" s="233">
        <f>+CDT!D30</f>
        <v>54840000</v>
      </c>
      <c r="D51" s="233"/>
    </row>
    <row r="52" spans="1:4" x14ac:dyDescent="0.2">
      <c r="A52" s="248">
        <v>421005</v>
      </c>
      <c r="B52" s="156" t="s">
        <v>308</v>
      </c>
      <c r="C52" s="233"/>
      <c r="D52" s="233">
        <f>+C51</f>
        <v>54840000</v>
      </c>
    </row>
    <row r="53" spans="1:4" x14ac:dyDescent="0.2">
      <c r="B53" s="6"/>
    </row>
    <row r="54" spans="1:4" x14ac:dyDescent="0.2">
      <c r="B54" s="6"/>
    </row>
    <row r="55" spans="1:4" x14ac:dyDescent="0.2">
      <c r="B55" s="6"/>
    </row>
    <row r="56" spans="1:4" x14ac:dyDescent="0.2">
      <c r="A56" s="231"/>
      <c r="B56" s="23" t="s">
        <v>386</v>
      </c>
      <c r="C56" s="232"/>
      <c r="D56" s="232"/>
    </row>
    <row r="57" spans="1:4" x14ac:dyDescent="0.2">
      <c r="A57" s="155"/>
      <c r="B57" s="156"/>
      <c r="C57" s="106" t="s">
        <v>168</v>
      </c>
      <c r="D57" s="106" t="s">
        <v>169</v>
      </c>
    </row>
    <row r="58" spans="1:4" x14ac:dyDescent="0.2">
      <c r="A58" s="248">
        <v>111005</v>
      </c>
      <c r="B58" s="156" t="s">
        <v>89</v>
      </c>
      <c r="C58" s="233">
        <f>+D59</f>
        <v>125326540</v>
      </c>
      <c r="D58" s="233"/>
    </row>
    <row r="59" spans="1:4" x14ac:dyDescent="0.2">
      <c r="A59" s="248">
        <v>421095</v>
      </c>
      <c r="B59" s="156" t="s">
        <v>387</v>
      </c>
      <c r="C59" s="233"/>
      <c r="D59" s="233">
        <f>+Derivados!F47</f>
        <v>125326540</v>
      </c>
    </row>
    <row r="60" spans="1:4" x14ac:dyDescent="0.2">
      <c r="B60" s="6"/>
    </row>
    <row r="61" spans="1:4" x14ac:dyDescent="0.2">
      <c r="B61" s="6"/>
    </row>
    <row r="62" spans="1:4" x14ac:dyDescent="0.2">
      <c r="B62" s="6"/>
    </row>
    <row r="63" spans="1:4" x14ac:dyDescent="0.2">
      <c r="A63" s="231"/>
      <c r="B63" s="23" t="s">
        <v>309</v>
      </c>
      <c r="C63" s="232"/>
      <c r="D63" s="232"/>
    </row>
    <row r="64" spans="1:4" x14ac:dyDescent="0.2">
      <c r="A64" s="155"/>
      <c r="B64" s="156"/>
      <c r="C64" s="106" t="s">
        <v>168</v>
      </c>
      <c r="D64" s="106" t="s">
        <v>169</v>
      </c>
    </row>
    <row r="65" spans="1:15" x14ac:dyDescent="0.2">
      <c r="A65" s="248">
        <v>133015</v>
      </c>
      <c r="B65" s="156" t="s">
        <v>40</v>
      </c>
      <c r="C65" s="233"/>
      <c r="D65" s="233">
        <f>+'BP 311220x3'!C20</f>
        <v>3150000</v>
      </c>
      <c r="E65" s="229" t="s">
        <v>310</v>
      </c>
    </row>
    <row r="66" spans="1:15" x14ac:dyDescent="0.2">
      <c r="A66" s="248">
        <v>515505</v>
      </c>
      <c r="B66" s="156" t="s">
        <v>218</v>
      </c>
      <c r="C66" s="233">
        <f>+D65</f>
        <v>3150000</v>
      </c>
      <c r="D66" s="233"/>
    </row>
    <row r="67" spans="1:15" x14ac:dyDescent="0.2">
      <c r="A67" s="248">
        <v>133015</v>
      </c>
      <c r="B67" s="156" t="s">
        <v>40</v>
      </c>
      <c r="C67" s="233">
        <v>6543000</v>
      </c>
      <c r="D67" s="233"/>
      <c r="E67" s="229" t="s">
        <v>311</v>
      </c>
    </row>
    <row r="68" spans="1:15" x14ac:dyDescent="0.2">
      <c r="A68" s="248">
        <v>111005</v>
      </c>
      <c r="B68" s="156" t="s">
        <v>89</v>
      </c>
      <c r="C68" s="233"/>
      <c r="D68" s="233">
        <f>+C67</f>
        <v>6543000</v>
      </c>
    </row>
    <row r="69" spans="1:15" x14ac:dyDescent="0.2">
      <c r="A69" s="248">
        <v>136510</v>
      </c>
      <c r="B69" s="156" t="s">
        <v>256</v>
      </c>
      <c r="C69" s="233"/>
      <c r="D69" s="233">
        <v>4543000</v>
      </c>
      <c r="E69" s="229" t="s">
        <v>315</v>
      </c>
      <c r="L69" s="229" t="s">
        <v>873</v>
      </c>
    </row>
    <row r="70" spans="1:15" x14ac:dyDescent="0.2">
      <c r="A70" s="248">
        <v>111005</v>
      </c>
      <c r="B70" s="156" t="s">
        <v>89</v>
      </c>
      <c r="C70" s="233">
        <f>+D69</f>
        <v>4543000</v>
      </c>
      <c r="D70" s="233"/>
      <c r="E70" s="229" t="s">
        <v>315</v>
      </c>
    </row>
    <row r="71" spans="1:15" x14ac:dyDescent="0.2">
      <c r="B71" s="6"/>
      <c r="C71" s="107">
        <f>SUM(C65:C70)</f>
        <v>14236000</v>
      </c>
      <c r="D71" s="107">
        <f>SUM(D65:D70)</f>
        <v>14236000</v>
      </c>
      <c r="L71" s="229" t="s">
        <v>874</v>
      </c>
      <c r="N71" s="229">
        <v>13456000</v>
      </c>
    </row>
    <row r="72" spans="1:15" x14ac:dyDescent="0.2">
      <c r="B72" s="6"/>
      <c r="L72" s="229" t="s">
        <v>875</v>
      </c>
      <c r="N72" s="229">
        <v>23897000</v>
      </c>
    </row>
    <row r="73" spans="1:15" x14ac:dyDescent="0.2">
      <c r="B73" s="6"/>
    </row>
    <row r="74" spans="1:15" x14ac:dyDescent="0.2">
      <c r="A74" s="231"/>
      <c r="B74" s="23" t="s">
        <v>368</v>
      </c>
      <c r="C74" s="232"/>
      <c r="D74" s="232"/>
      <c r="L74" s="229" t="s">
        <v>876</v>
      </c>
      <c r="N74" s="229">
        <f>+N71</f>
        <v>13456000</v>
      </c>
      <c r="O74" s="229" t="s">
        <v>865</v>
      </c>
    </row>
    <row r="75" spans="1:15" x14ac:dyDescent="0.2">
      <c r="A75" s="155"/>
      <c r="B75" s="156"/>
      <c r="C75" s="106" t="s">
        <v>168</v>
      </c>
      <c r="D75" s="106" t="s">
        <v>169</v>
      </c>
      <c r="L75" s="229" t="s">
        <v>877</v>
      </c>
      <c r="N75" s="229">
        <f>+N72-N71</f>
        <v>10441000</v>
      </c>
      <c r="O75" s="229" t="s">
        <v>865</v>
      </c>
    </row>
    <row r="76" spans="1:15" x14ac:dyDescent="0.2">
      <c r="A76" s="248">
        <v>425005</v>
      </c>
      <c r="B76" s="156" t="s">
        <v>1080</v>
      </c>
      <c r="C76" s="233"/>
      <c r="D76" s="233">
        <f>-Clientes!D131</f>
        <v>456833344.63999999</v>
      </c>
      <c r="N76" s="229">
        <f>+N74+N75</f>
        <v>23897000</v>
      </c>
    </row>
    <row r="77" spans="1:15" x14ac:dyDescent="0.2">
      <c r="A77" s="248">
        <v>425006</v>
      </c>
      <c r="B77" s="156" t="s">
        <v>1081</v>
      </c>
      <c r="C77" s="233"/>
      <c r="D77" s="233">
        <f>-Clientes!D132-D76</f>
        <v>-450459303.63999999</v>
      </c>
    </row>
    <row r="78" spans="1:15" x14ac:dyDescent="0.2">
      <c r="A78" s="248">
        <v>139905</v>
      </c>
      <c r="B78" s="156" t="s">
        <v>1074</v>
      </c>
      <c r="C78" s="233">
        <f>+D76</f>
        <v>456833344.63999999</v>
      </c>
      <c r="D78" s="233"/>
    </row>
    <row r="79" spans="1:15" x14ac:dyDescent="0.2">
      <c r="A79" s="248">
        <v>139906</v>
      </c>
      <c r="B79" s="156" t="s">
        <v>1052</v>
      </c>
      <c r="C79" s="233">
        <f>+D77</f>
        <v>-450459303.63999999</v>
      </c>
      <c r="D79" s="233"/>
    </row>
    <row r="80" spans="1:15" x14ac:dyDescent="0.2">
      <c r="B80" s="6"/>
      <c r="C80" s="107">
        <f>SUM(C76:C79)</f>
        <v>6374041</v>
      </c>
      <c r="D80" s="107">
        <f>SUM(D76:D79)</f>
        <v>6374041</v>
      </c>
    </row>
    <row r="81" spans="1:5" x14ac:dyDescent="0.2">
      <c r="B81" s="6"/>
    </row>
    <row r="82" spans="1:5" x14ac:dyDescent="0.2">
      <c r="A82" s="231"/>
      <c r="B82" s="23" t="s">
        <v>321</v>
      </c>
      <c r="C82" s="232"/>
      <c r="D82" s="232"/>
    </row>
    <row r="83" spans="1:5" x14ac:dyDescent="0.2">
      <c r="A83" s="155"/>
      <c r="B83" s="156"/>
      <c r="C83" s="106" t="s">
        <v>168</v>
      </c>
      <c r="D83" s="106" t="s">
        <v>169</v>
      </c>
    </row>
    <row r="84" spans="1:5" x14ac:dyDescent="0.2">
      <c r="A84" s="248">
        <v>140501</v>
      </c>
      <c r="B84" s="156" t="s">
        <v>63</v>
      </c>
      <c r="C84" s="233"/>
      <c r="D84" s="233">
        <f>+Inventarios!C167</f>
        <v>579150000</v>
      </c>
      <c r="E84" s="229" t="s">
        <v>322</v>
      </c>
    </row>
    <row r="85" spans="1:5" x14ac:dyDescent="0.2">
      <c r="A85" s="248">
        <v>143005</v>
      </c>
      <c r="B85" s="156" t="s">
        <v>64</v>
      </c>
      <c r="C85" s="233"/>
      <c r="D85" s="233">
        <f>+Inventarios!C168</f>
        <v>572030000</v>
      </c>
      <c r="E85" s="229" t="s">
        <v>322</v>
      </c>
    </row>
    <row r="86" spans="1:5" x14ac:dyDescent="0.2">
      <c r="A86" s="248">
        <v>140501</v>
      </c>
      <c r="B86" s="156" t="s">
        <v>63</v>
      </c>
      <c r="C86" s="233">
        <f>+Inventarios!C176</f>
        <v>637356000</v>
      </c>
      <c r="D86" s="233"/>
      <c r="E86" s="229" t="s">
        <v>323</v>
      </c>
    </row>
    <row r="87" spans="1:5" x14ac:dyDescent="0.2">
      <c r="A87" s="248">
        <v>143005</v>
      </c>
      <c r="B87" s="156" t="s">
        <v>64</v>
      </c>
      <c r="C87" s="233">
        <f>+Inventarios!C177</f>
        <v>524369000</v>
      </c>
      <c r="D87" s="233"/>
      <c r="E87" s="229" t="s">
        <v>323</v>
      </c>
    </row>
    <row r="88" spans="1:5" x14ac:dyDescent="0.2">
      <c r="A88" s="248">
        <v>710505</v>
      </c>
      <c r="B88" s="156" t="s">
        <v>324</v>
      </c>
      <c r="C88" s="233">
        <f>+Inventarios!C170</f>
        <v>11270225000</v>
      </c>
      <c r="D88" s="233"/>
      <c r="E88" s="229" t="s">
        <v>325</v>
      </c>
    </row>
    <row r="89" spans="1:5" x14ac:dyDescent="0.2">
      <c r="A89" s="248">
        <v>240801</v>
      </c>
      <c r="B89" s="156" t="s">
        <v>331</v>
      </c>
      <c r="C89" s="233">
        <f>+C88*0.16</f>
        <v>1803236000</v>
      </c>
      <c r="D89" s="233"/>
      <c r="E89" s="229" t="s">
        <v>325</v>
      </c>
    </row>
    <row r="90" spans="1:5" x14ac:dyDescent="0.2">
      <c r="A90" s="248">
        <v>733005</v>
      </c>
      <c r="B90" s="156" t="s">
        <v>226</v>
      </c>
      <c r="C90" s="233">
        <f>+Inventarios!C172</f>
        <v>422356789</v>
      </c>
      <c r="D90" s="233"/>
      <c r="E90" s="229" t="s">
        <v>325</v>
      </c>
    </row>
    <row r="91" spans="1:5" x14ac:dyDescent="0.2">
      <c r="A91" s="248">
        <v>720505</v>
      </c>
      <c r="B91" s="156" t="s">
        <v>233</v>
      </c>
      <c r="C91" s="233">
        <f>+Inventarios!C173</f>
        <v>6158000000</v>
      </c>
      <c r="D91" s="233"/>
      <c r="E91" s="229" t="s">
        <v>325</v>
      </c>
    </row>
    <row r="92" spans="1:5" x14ac:dyDescent="0.2">
      <c r="A92" s="248">
        <v>738005</v>
      </c>
      <c r="B92" s="156" t="s">
        <v>367</v>
      </c>
      <c r="C92" s="233">
        <f>+Inventarios!C174</f>
        <v>1933000000</v>
      </c>
      <c r="D92" s="233"/>
      <c r="E92" s="229" t="s">
        <v>325</v>
      </c>
    </row>
    <row r="93" spans="1:5" x14ac:dyDescent="0.2">
      <c r="A93" s="248">
        <v>710505</v>
      </c>
      <c r="B93" s="156" t="s">
        <v>225</v>
      </c>
      <c r="C93" s="233">
        <f>+D84</f>
        <v>579150000</v>
      </c>
      <c r="D93" s="233">
        <f>+C86</f>
        <v>637356000</v>
      </c>
      <c r="E93" s="229" t="s">
        <v>326</v>
      </c>
    </row>
    <row r="94" spans="1:5" x14ac:dyDescent="0.2">
      <c r="A94" s="248">
        <v>612005</v>
      </c>
      <c r="B94" s="156" t="s">
        <v>281</v>
      </c>
      <c r="C94" s="233">
        <f>+D85</f>
        <v>572030000</v>
      </c>
      <c r="D94" s="233">
        <f>+C87</f>
        <v>524369000</v>
      </c>
    </row>
    <row r="95" spans="1:5" x14ac:dyDescent="0.2">
      <c r="A95" s="248">
        <v>111005</v>
      </c>
      <c r="B95" s="156" t="s">
        <v>89</v>
      </c>
      <c r="C95" s="233"/>
      <c r="D95" s="233">
        <f>+C88+C90+C91+C92+C89</f>
        <v>21586817789</v>
      </c>
    </row>
    <row r="96" spans="1:5" x14ac:dyDescent="0.2">
      <c r="B96" s="6"/>
      <c r="C96" s="107">
        <f>SUM(C84:C95)</f>
        <v>23899722789</v>
      </c>
      <c r="D96" s="107">
        <f>SUM(D84:D95)</f>
        <v>23899722789</v>
      </c>
    </row>
    <row r="97" spans="1:5" x14ac:dyDescent="0.2">
      <c r="B97" s="6"/>
    </row>
    <row r="98" spans="1:5" x14ac:dyDescent="0.2">
      <c r="B98" s="6"/>
    </row>
    <row r="99" spans="1:5" x14ac:dyDescent="0.2">
      <c r="B99" s="6"/>
    </row>
    <row r="100" spans="1:5" x14ac:dyDescent="0.2">
      <c r="A100" s="231"/>
      <c r="B100" s="23" t="s">
        <v>328</v>
      </c>
      <c r="C100" s="232"/>
      <c r="D100" s="232"/>
    </row>
    <row r="101" spans="1:5" x14ac:dyDescent="0.2">
      <c r="A101" s="155"/>
      <c r="B101" s="156"/>
      <c r="C101" s="106" t="s">
        <v>168</v>
      </c>
      <c r="D101" s="106" t="s">
        <v>169</v>
      </c>
    </row>
    <row r="102" spans="1:5" x14ac:dyDescent="0.2">
      <c r="A102" s="248">
        <v>144505</v>
      </c>
      <c r="B102" s="156" t="s">
        <v>257</v>
      </c>
      <c r="C102" s="233">
        <f>+Inventarios!E154</f>
        <v>322000000</v>
      </c>
      <c r="D102" s="233"/>
      <c r="E102" s="229" t="s">
        <v>333</v>
      </c>
    </row>
    <row r="103" spans="1:5" x14ac:dyDescent="0.2">
      <c r="A103" s="248">
        <v>144505</v>
      </c>
      <c r="B103" s="156" t="s">
        <v>257</v>
      </c>
      <c r="C103" s="233"/>
      <c r="D103" s="233">
        <f>-Inventarios!H154</f>
        <v>274067000</v>
      </c>
      <c r="E103" s="229" t="s">
        <v>334</v>
      </c>
    </row>
    <row r="104" spans="1:5" x14ac:dyDescent="0.2">
      <c r="A104" s="248">
        <v>111005</v>
      </c>
      <c r="B104" s="156" t="s">
        <v>89</v>
      </c>
      <c r="C104" s="233"/>
      <c r="D104" s="233">
        <f>+C102</f>
        <v>322000000</v>
      </c>
    </row>
    <row r="105" spans="1:5" x14ac:dyDescent="0.2">
      <c r="A105" s="248">
        <v>610505</v>
      </c>
      <c r="B105" s="156" t="s">
        <v>282</v>
      </c>
      <c r="C105" s="233">
        <f>+D103</f>
        <v>274067000</v>
      </c>
      <c r="D105" s="233"/>
    </row>
    <row r="106" spans="1:5" x14ac:dyDescent="0.2">
      <c r="B106" s="6"/>
      <c r="C106" s="107">
        <f>SUM(C102:C105)</f>
        <v>596067000</v>
      </c>
      <c r="D106" s="107">
        <f>SUM(D102:D105)</f>
        <v>596067000</v>
      </c>
    </row>
    <row r="107" spans="1:5" x14ac:dyDescent="0.2">
      <c r="B107" s="6"/>
    </row>
    <row r="108" spans="1:5" x14ac:dyDescent="0.2">
      <c r="B108" s="6"/>
    </row>
    <row r="109" spans="1:5" x14ac:dyDescent="0.2">
      <c r="B109" s="6"/>
    </row>
    <row r="110" spans="1:5" x14ac:dyDescent="0.2">
      <c r="A110" s="231"/>
      <c r="B110" s="23" t="s">
        <v>335</v>
      </c>
      <c r="C110" s="232"/>
      <c r="D110" s="232"/>
    </row>
    <row r="111" spans="1:5" x14ac:dyDescent="0.2">
      <c r="A111" s="155"/>
      <c r="B111" s="156"/>
      <c r="C111" s="106" t="s">
        <v>168</v>
      </c>
      <c r="D111" s="106" t="s">
        <v>169</v>
      </c>
    </row>
    <row r="112" spans="1:5" x14ac:dyDescent="0.2">
      <c r="A112" s="248">
        <v>159205</v>
      </c>
      <c r="B112" s="156" t="s">
        <v>1095</v>
      </c>
      <c r="C112" s="233"/>
      <c r="D112" s="233">
        <f>+PPYE!D74-PPYE!D42</f>
        <v>122250000</v>
      </c>
      <c r="E112" s="229" t="s">
        <v>294</v>
      </c>
    </row>
    <row r="113" spans="1:5" x14ac:dyDescent="0.2">
      <c r="A113" s="248">
        <v>159297</v>
      </c>
      <c r="B113" s="156" t="s">
        <v>1096</v>
      </c>
      <c r="C113" s="233"/>
      <c r="D113" s="233">
        <f>+PPYE!G74-PPYE!G42-D112</f>
        <v>-73350000</v>
      </c>
      <c r="E113" s="229" t="s">
        <v>294</v>
      </c>
    </row>
    <row r="114" spans="1:5" x14ac:dyDescent="0.2">
      <c r="A114" s="248">
        <v>159210</v>
      </c>
      <c r="B114" s="156" t="s">
        <v>1097</v>
      </c>
      <c r="C114" s="233"/>
      <c r="D114" s="233">
        <f>+PPYE!D75-PPYE!D43</f>
        <v>82526533</v>
      </c>
      <c r="E114" s="229" t="s">
        <v>294</v>
      </c>
    </row>
    <row r="115" spans="1:5" x14ac:dyDescent="0.2">
      <c r="A115" s="248">
        <v>159215</v>
      </c>
      <c r="B115" s="156" t="s">
        <v>1098</v>
      </c>
      <c r="C115" s="233"/>
      <c r="D115" s="233">
        <f>+PPYE!D76-PPYE!D44</f>
        <v>43505095</v>
      </c>
      <c r="E115" s="229" t="s">
        <v>294</v>
      </c>
    </row>
    <row r="116" spans="1:5" x14ac:dyDescent="0.2">
      <c r="A116" s="248">
        <v>159220</v>
      </c>
      <c r="B116" s="156" t="s">
        <v>1099</v>
      </c>
      <c r="C116" s="233"/>
      <c r="D116" s="233">
        <f>+PPYE!D77-PPYE!D45</f>
        <v>0</v>
      </c>
    </row>
    <row r="117" spans="1:5" x14ac:dyDescent="0.2">
      <c r="A117" s="248">
        <v>159298</v>
      </c>
      <c r="B117" s="156" t="s">
        <v>1100</v>
      </c>
      <c r="C117" s="233"/>
      <c r="D117" s="233">
        <f>+PPYE!G77-PPYE!G45-D116</f>
        <v>6190476</v>
      </c>
    </row>
    <row r="118" spans="1:5" x14ac:dyDescent="0.2">
      <c r="A118" s="248">
        <v>736005</v>
      </c>
      <c r="B118" s="156" t="s">
        <v>221</v>
      </c>
      <c r="C118" s="233">
        <f>+D112+D114</f>
        <v>204776533</v>
      </c>
      <c r="D118" s="233"/>
    </row>
    <row r="119" spans="1:5" x14ac:dyDescent="0.2">
      <c r="A119" s="248">
        <v>736098</v>
      </c>
      <c r="B119" s="156" t="s">
        <v>1107</v>
      </c>
      <c r="C119" s="233">
        <f>+D113</f>
        <v>-73350000</v>
      </c>
      <c r="D119" s="233"/>
    </row>
    <row r="120" spans="1:5" x14ac:dyDescent="0.2">
      <c r="A120" s="208">
        <v>516005</v>
      </c>
      <c r="B120" s="154" t="s">
        <v>236</v>
      </c>
      <c r="C120" s="233">
        <f>+D115+D116</f>
        <v>43505095</v>
      </c>
      <c r="D120" s="233"/>
    </row>
    <row r="121" spans="1:5" x14ac:dyDescent="0.2">
      <c r="A121" s="208">
        <v>516098</v>
      </c>
      <c r="B121" s="154" t="s">
        <v>1108</v>
      </c>
      <c r="C121" s="233">
        <f>+D117</f>
        <v>6190476</v>
      </c>
      <c r="D121" s="233"/>
    </row>
    <row r="122" spans="1:5" x14ac:dyDescent="0.2">
      <c r="B122" s="6"/>
      <c r="C122" s="107">
        <f>SUM(C112:C121)</f>
        <v>181122104</v>
      </c>
      <c r="D122" s="107">
        <f>SUM(D112:D121)</f>
        <v>181122104</v>
      </c>
    </row>
    <row r="123" spans="1:5" x14ac:dyDescent="0.2">
      <c r="B123" s="6"/>
    </row>
    <row r="124" spans="1:5" x14ac:dyDescent="0.2">
      <c r="B124" s="6"/>
    </row>
    <row r="125" spans="1:5" x14ac:dyDescent="0.2">
      <c r="B125" s="6"/>
    </row>
    <row r="126" spans="1:5" x14ac:dyDescent="0.2">
      <c r="B126" s="6"/>
    </row>
    <row r="127" spans="1:5" x14ac:dyDescent="0.2">
      <c r="B127" s="6"/>
    </row>
    <row r="128" spans="1:5" x14ac:dyDescent="0.2">
      <c r="A128" s="231"/>
      <c r="B128" s="23" t="s">
        <v>336</v>
      </c>
      <c r="C128" s="232"/>
      <c r="D128" s="232"/>
    </row>
    <row r="129" spans="1:5" x14ac:dyDescent="0.2">
      <c r="A129" s="155"/>
      <c r="B129" s="156"/>
      <c r="C129" s="106" t="s">
        <v>168</v>
      </c>
      <c r="D129" s="106" t="s">
        <v>169</v>
      </c>
    </row>
    <row r="130" spans="1:5" x14ac:dyDescent="0.2">
      <c r="A130" s="248">
        <v>170545</v>
      </c>
      <c r="B130" s="156" t="s">
        <v>269</v>
      </c>
      <c r="C130" s="233"/>
      <c r="D130" s="233">
        <f>+'Otros activos'!E31</f>
        <v>7326000</v>
      </c>
      <c r="E130" s="229" t="s">
        <v>316</v>
      </c>
    </row>
    <row r="131" spans="1:5" x14ac:dyDescent="0.2">
      <c r="A131" s="248">
        <v>170525</v>
      </c>
      <c r="B131" s="156" t="s">
        <v>79</v>
      </c>
      <c r="C131" s="233"/>
      <c r="D131" s="233">
        <f>+'Otros activos'!E32</f>
        <v>8352000</v>
      </c>
      <c r="E131" s="229" t="s">
        <v>316</v>
      </c>
    </row>
    <row r="132" spans="1:5" x14ac:dyDescent="0.2">
      <c r="A132" s="248">
        <v>170520</v>
      </c>
      <c r="B132" s="156" t="s">
        <v>270</v>
      </c>
      <c r="C132" s="233"/>
      <c r="D132" s="233">
        <f>+'Otros activos'!E33</f>
        <v>6500000</v>
      </c>
      <c r="E132" s="229" t="s">
        <v>316</v>
      </c>
    </row>
    <row r="133" spans="1:5" x14ac:dyDescent="0.2">
      <c r="A133" s="248">
        <v>170545</v>
      </c>
      <c r="B133" s="156" t="s">
        <v>269</v>
      </c>
      <c r="C133" s="233">
        <f>+'Otros activos'!C50</f>
        <v>12123000</v>
      </c>
      <c r="D133" s="233"/>
      <c r="E133" s="229" t="s">
        <v>177</v>
      </c>
    </row>
    <row r="134" spans="1:5" x14ac:dyDescent="0.2">
      <c r="A134" s="248">
        <v>170525</v>
      </c>
      <c r="B134" s="156" t="s">
        <v>79</v>
      </c>
      <c r="C134" s="233">
        <f>+'Otros activos'!C51</f>
        <v>6543000</v>
      </c>
      <c r="D134" s="233"/>
      <c r="E134" s="229" t="s">
        <v>177</v>
      </c>
    </row>
    <row r="135" spans="1:5" x14ac:dyDescent="0.2">
      <c r="A135" s="248">
        <v>170520</v>
      </c>
      <c r="B135" s="156" t="s">
        <v>270</v>
      </c>
      <c r="C135" s="233">
        <f>+'Otros activos'!C52</f>
        <v>7500000</v>
      </c>
      <c r="D135" s="233"/>
      <c r="E135" s="229" t="s">
        <v>177</v>
      </c>
    </row>
    <row r="136" spans="1:5" x14ac:dyDescent="0.2">
      <c r="A136" s="248">
        <v>519510</v>
      </c>
      <c r="B136" s="156" t="s">
        <v>228</v>
      </c>
      <c r="C136" s="233">
        <f>+D130</f>
        <v>7326000</v>
      </c>
      <c r="D136" s="233"/>
    </row>
    <row r="137" spans="1:5" x14ac:dyDescent="0.2">
      <c r="A137" s="248">
        <v>512005</v>
      </c>
      <c r="B137" s="156" t="s">
        <v>337</v>
      </c>
      <c r="C137" s="233">
        <f>+D131</f>
        <v>8352000</v>
      </c>
      <c r="D137" s="233"/>
    </row>
    <row r="138" spans="1:5" x14ac:dyDescent="0.2">
      <c r="A138" s="248">
        <v>513005</v>
      </c>
      <c r="B138" s="156" t="s">
        <v>338</v>
      </c>
      <c r="C138" s="233">
        <f>+D132</f>
        <v>6500000</v>
      </c>
      <c r="D138" s="233"/>
    </row>
    <row r="139" spans="1:5" x14ac:dyDescent="0.2">
      <c r="A139" s="248">
        <v>111005</v>
      </c>
      <c r="B139" s="156" t="s">
        <v>89</v>
      </c>
      <c r="C139" s="233"/>
      <c r="D139" s="233">
        <f>+C133+C134+C135</f>
        <v>26166000</v>
      </c>
    </row>
    <row r="140" spans="1:5" x14ac:dyDescent="0.2">
      <c r="B140" s="6"/>
      <c r="C140" s="107">
        <f>SUM(C130:C139)</f>
        <v>48344000</v>
      </c>
      <c r="D140" s="107">
        <f>SUM(D130:D139)</f>
        <v>48344000</v>
      </c>
    </row>
    <row r="141" spans="1:5" x14ac:dyDescent="0.2">
      <c r="B141" s="6"/>
    </row>
    <row r="142" spans="1:5" x14ac:dyDescent="0.2">
      <c r="B142" s="6"/>
    </row>
    <row r="143" spans="1:5" x14ac:dyDescent="0.2">
      <c r="B143" s="6"/>
    </row>
    <row r="144" spans="1:5" x14ac:dyDescent="0.2">
      <c r="B144" s="6"/>
    </row>
    <row r="145" spans="1:4" x14ac:dyDescent="0.2">
      <c r="A145" s="231"/>
      <c r="B145" s="23" t="s">
        <v>339</v>
      </c>
      <c r="C145" s="232"/>
      <c r="D145" s="232"/>
    </row>
    <row r="146" spans="1:4" x14ac:dyDescent="0.2">
      <c r="A146" s="155"/>
      <c r="B146" s="156"/>
      <c r="C146" s="106" t="s">
        <v>168</v>
      </c>
      <c r="D146" s="106" t="s">
        <v>169</v>
      </c>
    </row>
    <row r="147" spans="1:4" x14ac:dyDescent="0.2">
      <c r="A147" s="248">
        <v>161098</v>
      </c>
      <c r="B147" s="156" t="s">
        <v>47</v>
      </c>
      <c r="C147" s="233"/>
      <c r="D147" s="233">
        <f>+'Otros activos'!I57</f>
        <v>13000000</v>
      </c>
    </row>
    <row r="148" spans="1:4" x14ac:dyDescent="0.2">
      <c r="A148" s="248">
        <v>516510</v>
      </c>
      <c r="B148" s="156" t="s">
        <v>190</v>
      </c>
      <c r="C148" s="233">
        <f>+D147</f>
        <v>13000000</v>
      </c>
      <c r="D148" s="233"/>
    </row>
    <row r="149" spans="1:4" x14ac:dyDescent="0.2">
      <c r="B149" s="6"/>
      <c r="C149" s="107">
        <f>SUM(C147:C148)</f>
        <v>13000000</v>
      </c>
      <c r="D149" s="107">
        <f>SUM(D147:D148)</f>
        <v>13000000</v>
      </c>
    </row>
    <row r="150" spans="1:4" x14ac:dyDescent="0.2">
      <c r="B150" s="6"/>
    </row>
    <row r="151" spans="1:4" x14ac:dyDescent="0.2">
      <c r="B151" s="6"/>
    </row>
    <row r="152" spans="1:4" x14ac:dyDescent="0.2">
      <c r="A152" s="231"/>
      <c r="B152" s="23" t="s">
        <v>341</v>
      </c>
      <c r="C152" s="232"/>
      <c r="D152" s="232"/>
    </row>
    <row r="153" spans="1:4" x14ac:dyDescent="0.2">
      <c r="A153" s="155"/>
      <c r="B153" s="156"/>
      <c r="C153" s="106" t="s">
        <v>168</v>
      </c>
      <c r="D153" s="106" t="s">
        <v>169</v>
      </c>
    </row>
    <row r="154" spans="1:4" x14ac:dyDescent="0.2">
      <c r="A154" s="248">
        <v>210510</v>
      </c>
      <c r="B154" s="156" t="s">
        <v>18</v>
      </c>
      <c r="C154" s="233">
        <f>+ROUND((Pasivos!P118-Pasivos!Q118),0)</f>
        <v>605931417</v>
      </c>
      <c r="D154" s="233"/>
    </row>
    <row r="155" spans="1:4" x14ac:dyDescent="0.2">
      <c r="A155" s="248">
        <v>530520</v>
      </c>
      <c r="B155" s="156" t="s">
        <v>43</v>
      </c>
      <c r="C155" s="233">
        <f>+ROUND((Pasivos!Q118),0)</f>
        <v>245358597</v>
      </c>
      <c r="D155" s="233"/>
    </row>
    <row r="156" spans="1:4" x14ac:dyDescent="0.2">
      <c r="A156" s="248">
        <v>111005</v>
      </c>
      <c r="B156" s="156" t="s">
        <v>89</v>
      </c>
      <c r="C156" s="233"/>
      <c r="D156" s="233">
        <f>+C154+C155</f>
        <v>851290014</v>
      </c>
    </row>
    <row r="157" spans="1:4" x14ac:dyDescent="0.2">
      <c r="B157" s="6"/>
      <c r="C157" s="107">
        <f>SUM(C154:C156)</f>
        <v>851290014</v>
      </c>
      <c r="D157" s="107">
        <f>SUM(D154:D156)</f>
        <v>851290014</v>
      </c>
    </row>
    <row r="158" spans="1:4" x14ac:dyDescent="0.2">
      <c r="B158" s="6"/>
    </row>
    <row r="159" spans="1:4" x14ac:dyDescent="0.2">
      <c r="B159" s="6"/>
    </row>
    <row r="160" spans="1:4" x14ac:dyDescent="0.2">
      <c r="A160" s="231"/>
      <c r="B160" s="23" t="s">
        <v>342</v>
      </c>
      <c r="C160" s="232"/>
      <c r="D160" s="232"/>
    </row>
    <row r="161" spans="1:5" x14ac:dyDescent="0.2">
      <c r="A161" s="155"/>
      <c r="B161" s="156"/>
      <c r="C161" s="106" t="s">
        <v>168</v>
      </c>
      <c r="D161" s="106" t="s">
        <v>169</v>
      </c>
    </row>
    <row r="162" spans="1:5" x14ac:dyDescent="0.2">
      <c r="A162" s="248">
        <v>220505</v>
      </c>
      <c r="B162" s="156" t="s">
        <v>49</v>
      </c>
      <c r="C162" s="233">
        <f>+'BP 311220x3'!C56</f>
        <v>612345768</v>
      </c>
      <c r="D162" s="233"/>
      <c r="E162" s="229" t="s">
        <v>289</v>
      </c>
    </row>
    <row r="163" spans="1:5" x14ac:dyDescent="0.2">
      <c r="A163" s="248">
        <v>236595</v>
      </c>
      <c r="B163" s="156" t="s">
        <v>22</v>
      </c>
      <c r="C163" s="233">
        <f>+'BP 311220x3'!C57</f>
        <v>12543000</v>
      </c>
      <c r="D163" s="233"/>
      <c r="E163" s="229" t="s">
        <v>289</v>
      </c>
    </row>
    <row r="164" spans="1:5" x14ac:dyDescent="0.2">
      <c r="A164" s="248">
        <v>237010</v>
      </c>
      <c r="B164" s="156" t="s">
        <v>75</v>
      </c>
      <c r="C164" s="233">
        <f>+'BP 311220x3'!C58</f>
        <v>37876000</v>
      </c>
      <c r="D164" s="233"/>
      <c r="E164" s="229" t="s">
        <v>289</v>
      </c>
    </row>
    <row r="165" spans="1:5" x14ac:dyDescent="0.2">
      <c r="A165" s="248">
        <v>237005</v>
      </c>
      <c r="B165" s="156" t="s">
        <v>131</v>
      </c>
      <c r="C165" s="233">
        <f>+'BP 311220x3'!C59</f>
        <v>58765000</v>
      </c>
      <c r="D165" s="233"/>
      <c r="E165" s="229" t="s">
        <v>289</v>
      </c>
    </row>
    <row r="166" spans="1:5" x14ac:dyDescent="0.2">
      <c r="A166" s="248">
        <v>237045</v>
      </c>
      <c r="B166" s="156" t="s">
        <v>80</v>
      </c>
      <c r="C166" s="233">
        <f>+'BP 311220x3'!C60</f>
        <v>174654000</v>
      </c>
      <c r="D166" s="233"/>
      <c r="E166" s="229" t="s">
        <v>289</v>
      </c>
    </row>
    <row r="167" spans="1:5" x14ac:dyDescent="0.2">
      <c r="A167" s="248">
        <v>240404</v>
      </c>
      <c r="B167" s="156" t="s">
        <v>74</v>
      </c>
      <c r="C167" s="233">
        <f>+'BP 311220x3'!C61</f>
        <v>1148433000</v>
      </c>
      <c r="D167" s="233"/>
      <c r="E167" s="229" t="s">
        <v>289</v>
      </c>
    </row>
    <row r="168" spans="1:5" x14ac:dyDescent="0.2">
      <c r="A168" s="248">
        <v>241205</v>
      </c>
      <c r="B168" s="156" t="s">
        <v>24</v>
      </c>
      <c r="C168" s="233">
        <f>+'BP 311220x3'!C63</f>
        <v>263254320</v>
      </c>
      <c r="D168" s="233"/>
      <c r="E168" s="229" t="s">
        <v>289</v>
      </c>
    </row>
    <row r="169" spans="1:5" x14ac:dyDescent="0.2">
      <c r="A169" s="248">
        <v>220505</v>
      </c>
      <c r="B169" s="156" t="s">
        <v>49</v>
      </c>
      <c r="C169" s="233"/>
      <c r="D169" s="233">
        <v>324657000</v>
      </c>
      <c r="E169" s="229" t="s">
        <v>177</v>
      </c>
    </row>
    <row r="170" spans="1:5" x14ac:dyDescent="0.2">
      <c r="A170" s="248">
        <v>236595</v>
      </c>
      <c r="B170" s="156" t="s">
        <v>22</v>
      </c>
      <c r="C170" s="233"/>
      <c r="D170" s="233">
        <v>11432000</v>
      </c>
      <c r="E170" s="229" t="s">
        <v>177</v>
      </c>
    </row>
    <row r="171" spans="1:5" x14ac:dyDescent="0.2">
      <c r="A171" s="248">
        <v>237010</v>
      </c>
      <c r="B171" s="156" t="s">
        <v>75</v>
      </c>
      <c r="C171" s="233"/>
      <c r="D171" s="233">
        <v>36765000</v>
      </c>
      <c r="E171" s="229" t="s">
        <v>177</v>
      </c>
    </row>
    <row r="172" spans="1:5" x14ac:dyDescent="0.2">
      <c r="A172" s="248">
        <v>237005</v>
      </c>
      <c r="B172" s="156" t="s">
        <v>131</v>
      </c>
      <c r="C172" s="233"/>
      <c r="D172" s="233">
        <v>56765000</v>
      </c>
      <c r="E172" s="229" t="s">
        <v>177</v>
      </c>
    </row>
    <row r="173" spans="1:5" x14ac:dyDescent="0.2">
      <c r="A173" s="248">
        <v>237045</v>
      </c>
      <c r="B173" s="156" t="s">
        <v>80</v>
      </c>
      <c r="C173" s="233"/>
      <c r="D173" s="233">
        <v>170654000</v>
      </c>
      <c r="E173" s="229" t="s">
        <v>177</v>
      </c>
    </row>
    <row r="174" spans="1:5" x14ac:dyDescent="0.2">
      <c r="A174" s="248">
        <v>240801</v>
      </c>
      <c r="B174" s="156" t="s">
        <v>343</v>
      </c>
      <c r="C174" s="233">
        <v>2900000000</v>
      </c>
      <c r="D174" s="233"/>
      <c r="E174" s="229" t="s">
        <v>344</v>
      </c>
    </row>
    <row r="175" spans="1:5" x14ac:dyDescent="0.2">
      <c r="A175" s="248">
        <v>241205</v>
      </c>
      <c r="B175" s="156" t="s">
        <v>24</v>
      </c>
      <c r="C175" s="233"/>
      <c r="D175" s="233">
        <f>+(D8+D9+D10-C11)*9.66/1000</f>
        <v>289426370.51999998</v>
      </c>
      <c r="E175" s="229" t="s">
        <v>177</v>
      </c>
    </row>
    <row r="176" spans="1:5" x14ac:dyDescent="0.2">
      <c r="A176" s="248">
        <v>511505</v>
      </c>
      <c r="B176" s="156" t="s">
        <v>278</v>
      </c>
      <c r="C176" s="233">
        <f>+D175</f>
        <v>289426370.51999998</v>
      </c>
      <c r="D176" s="233"/>
    </row>
    <row r="177" spans="1:5" x14ac:dyDescent="0.2">
      <c r="A177" s="248">
        <v>111005</v>
      </c>
      <c r="B177" s="156" t="s">
        <v>89</v>
      </c>
      <c r="C177" s="233"/>
      <c r="D177" s="233">
        <f>+C162+C163+C164+C165+C166+C167+C168-D169-D170-D171-D172-D173+C174</f>
        <v>4607598088</v>
      </c>
    </row>
    <row r="178" spans="1:5" x14ac:dyDescent="0.2">
      <c r="B178" s="6"/>
      <c r="C178" s="107">
        <f>SUM(C162:C177)</f>
        <v>5497297458.5200005</v>
      </c>
      <c r="D178" s="107">
        <f>SUM(D162:D177)</f>
        <v>5497297458.5200005</v>
      </c>
    </row>
    <row r="179" spans="1:5" x14ac:dyDescent="0.2">
      <c r="B179" s="6"/>
    </row>
    <row r="180" spans="1:5" x14ac:dyDescent="0.2">
      <c r="B180" s="6"/>
    </row>
    <row r="181" spans="1:5" x14ac:dyDescent="0.2">
      <c r="A181" s="231"/>
      <c r="B181" s="23" t="s">
        <v>345</v>
      </c>
      <c r="C181" s="232"/>
      <c r="D181" s="232"/>
    </row>
    <row r="182" spans="1:5" x14ac:dyDescent="0.2">
      <c r="A182" s="155"/>
      <c r="B182" s="156"/>
      <c r="C182" s="106" t="s">
        <v>168</v>
      </c>
      <c r="D182" s="106" t="s">
        <v>169</v>
      </c>
    </row>
    <row r="183" spans="1:5" x14ac:dyDescent="0.2">
      <c r="A183" s="248">
        <v>250505</v>
      </c>
      <c r="B183" s="156" t="s">
        <v>1105</v>
      </c>
      <c r="C183" s="233">
        <f>+'BP 311220x3'!C64</f>
        <v>75453678</v>
      </c>
      <c r="D183" s="233"/>
      <c r="E183" s="229" t="s">
        <v>289</v>
      </c>
    </row>
    <row r="184" spans="1:5" x14ac:dyDescent="0.2">
      <c r="A184" s="248">
        <v>250505</v>
      </c>
      <c r="B184" s="156" t="s">
        <v>1105</v>
      </c>
      <c r="C184" s="233"/>
      <c r="D184" s="233">
        <f>+Laboral!B67+Laboral!C67+Laboral!D67</f>
        <v>90319513</v>
      </c>
      <c r="E184" s="229" t="s">
        <v>177</v>
      </c>
    </row>
    <row r="185" spans="1:5" x14ac:dyDescent="0.2">
      <c r="A185" s="248">
        <v>510505</v>
      </c>
      <c r="B185" s="156" t="s">
        <v>186</v>
      </c>
      <c r="C185" s="233">
        <f>+Laboral!B67*12+Laboral!B67+Laboral!B67+Laboral!C67+Laboral!D67</f>
        <v>325359513</v>
      </c>
      <c r="D185" s="233"/>
    </row>
    <row r="186" spans="1:5" x14ac:dyDescent="0.2">
      <c r="A186" s="248">
        <v>111005</v>
      </c>
      <c r="B186" s="156" t="s">
        <v>89</v>
      </c>
      <c r="C186" s="233"/>
      <c r="D186" s="233">
        <f>+C185+C183-D184</f>
        <v>310493678</v>
      </c>
    </row>
    <row r="187" spans="1:5" x14ac:dyDescent="0.2">
      <c r="B187" s="6"/>
      <c r="C187" s="107">
        <f>SUM(C183:C186)</f>
        <v>400813191</v>
      </c>
      <c r="D187" s="107">
        <f>SUM(D183:D186)</f>
        <v>400813191</v>
      </c>
    </row>
    <row r="188" spans="1:5" x14ac:dyDescent="0.2">
      <c r="B188" s="6"/>
    </row>
    <row r="189" spans="1:5" x14ac:dyDescent="0.2">
      <c r="B189" s="6"/>
    </row>
    <row r="190" spans="1:5" x14ac:dyDescent="0.2">
      <c r="A190" s="231"/>
      <c r="B190" s="23" t="s">
        <v>360</v>
      </c>
      <c r="C190" s="232"/>
      <c r="D190" s="232"/>
    </row>
    <row r="191" spans="1:5" x14ac:dyDescent="0.2">
      <c r="A191" s="155"/>
      <c r="B191" s="156"/>
      <c r="C191" s="106" t="s">
        <v>168</v>
      </c>
      <c r="D191" s="106" t="s">
        <v>169</v>
      </c>
    </row>
    <row r="192" spans="1:5" x14ac:dyDescent="0.2">
      <c r="A192" s="248">
        <v>263505</v>
      </c>
      <c r="B192" s="156" t="s">
        <v>25</v>
      </c>
      <c r="C192" s="233">
        <f>+Pasivos!I151</f>
        <v>35000000</v>
      </c>
      <c r="D192" s="233"/>
      <c r="E192" s="229" t="s">
        <v>361</v>
      </c>
    </row>
    <row r="193" spans="1:5" x14ac:dyDescent="0.2">
      <c r="A193" s="248">
        <v>263505</v>
      </c>
      <c r="B193" s="156" t="s">
        <v>25</v>
      </c>
      <c r="C193" s="233"/>
      <c r="D193" s="233">
        <f>+Pasivos!I152</f>
        <v>135074000</v>
      </c>
      <c r="E193" s="229" t="s">
        <v>362</v>
      </c>
    </row>
    <row r="194" spans="1:5" x14ac:dyDescent="0.2">
      <c r="A194" s="248">
        <v>111005</v>
      </c>
      <c r="B194" s="156" t="s">
        <v>89</v>
      </c>
      <c r="C194" s="233"/>
      <c r="D194" s="233">
        <f>+C192</f>
        <v>35000000</v>
      </c>
    </row>
    <row r="195" spans="1:5" x14ac:dyDescent="0.2">
      <c r="A195" s="248">
        <v>539505</v>
      </c>
      <c r="B195" s="156" t="s">
        <v>283</v>
      </c>
      <c r="C195" s="233">
        <f>+D193</f>
        <v>135074000</v>
      </c>
      <c r="D195" s="233"/>
    </row>
    <row r="196" spans="1:5" x14ac:dyDescent="0.2">
      <c r="B196" s="6"/>
      <c r="C196" s="107">
        <f>SUM(C192:C195)</f>
        <v>170074000</v>
      </c>
      <c r="D196" s="107">
        <f>SUM(D192:D195)</f>
        <v>170074000</v>
      </c>
    </row>
    <row r="197" spans="1:5" x14ac:dyDescent="0.2">
      <c r="B197" s="6"/>
    </row>
    <row r="198" spans="1:5" x14ac:dyDescent="0.2">
      <c r="B198" s="6"/>
    </row>
    <row r="199" spans="1:5" x14ac:dyDescent="0.2">
      <c r="A199" s="231"/>
      <c r="B199" s="23" t="s">
        <v>400</v>
      </c>
      <c r="C199" s="232"/>
      <c r="D199" s="232"/>
    </row>
    <row r="200" spans="1:5" x14ac:dyDescent="0.2">
      <c r="A200" s="155"/>
      <c r="B200" s="156"/>
      <c r="C200" s="106" t="s">
        <v>168</v>
      </c>
      <c r="D200" s="106" t="s">
        <v>169</v>
      </c>
    </row>
    <row r="201" spans="1:5" x14ac:dyDescent="0.2">
      <c r="A201" s="248">
        <v>264005</v>
      </c>
      <c r="B201" s="156" t="s">
        <v>401</v>
      </c>
      <c r="C201" s="233"/>
      <c r="D201" s="233">
        <f>+C202</f>
        <v>186000000</v>
      </c>
      <c r="E201" s="229" t="s">
        <v>364</v>
      </c>
    </row>
    <row r="202" spans="1:5" x14ac:dyDescent="0.2">
      <c r="A202" s="248">
        <v>612010</v>
      </c>
      <c r="B202" s="156" t="s">
        <v>396</v>
      </c>
      <c r="C202" s="233">
        <f>+Pasivos!C159</f>
        <v>186000000</v>
      </c>
      <c r="D202" s="233"/>
    </row>
    <row r="203" spans="1:5" x14ac:dyDescent="0.2">
      <c r="A203" s="248">
        <v>264005</v>
      </c>
      <c r="B203" s="156" t="s">
        <v>401</v>
      </c>
      <c r="C203" s="233">
        <f>+Pasivos!C160</f>
        <v>149817000</v>
      </c>
      <c r="D203" s="233"/>
      <c r="E203" s="229" t="s">
        <v>402</v>
      </c>
    </row>
    <row r="204" spans="1:5" x14ac:dyDescent="0.2">
      <c r="A204" s="248">
        <v>111006</v>
      </c>
      <c r="B204" s="156" t="s">
        <v>88</v>
      </c>
      <c r="C204" s="233"/>
      <c r="D204" s="233">
        <f>+C203</f>
        <v>149817000</v>
      </c>
    </row>
    <row r="205" spans="1:5" x14ac:dyDescent="0.2">
      <c r="A205" s="6"/>
      <c r="B205" s="6"/>
      <c r="C205" s="107">
        <f>SUM(C201:C204)</f>
        <v>335817000</v>
      </c>
      <c r="D205" s="107">
        <f>SUM(D201:D204)</f>
        <v>335817000</v>
      </c>
    </row>
    <row r="206" spans="1:5" x14ac:dyDescent="0.2">
      <c r="B206" s="6"/>
    </row>
    <row r="207" spans="1:5" x14ac:dyDescent="0.2">
      <c r="B207" s="6"/>
    </row>
    <row r="208" spans="1:5" x14ac:dyDescent="0.2">
      <c r="A208" s="231"/>
      <c r="B208" s="23" t="s">
        <v>365</v>
      </c>
      <c r="C208" s="232"/>
      <c r="D208" s="232"/>
    </row>
    <row r="209" spans="1:4" x14ac:dyDescent="0.2">
      <c r="A209" s="155"/>
      <c r="B209" s="156"/>
      <c r="C209" s="106" t="s">
        <v>168</v>
      </c>
      <c r="D209" s="106" t="s">
        <v>169</v>
      </c>
    </row>
    <row r="210" spans="1:4" x14ac:dyDescent="0.2">
      <c r="A210" s="248">
        <v>370505</v>
      </c>
      <c r="B210" s="156" t="s">
        <v>15</v>
      </c>
      <c r="C210" s="233"/>
      <c r="D210" s="233">
        <f>+C212-D211</f>
        <v>3410051394.0656767</v>
      </c>
    </row>
    <row r="211" spans="1:4" x14ac:dyDescent="0.2">
      <c r="A211" s="248">
        <v>330505</v>
      </c>
      <c r="B211" s="156" t="s">
        <v>12</v>
      </c>
      <c r="C211" s="233"/>
      <c r="D211" s="233">
        <f>+C212*0.1</f>
        <v>378894599.34063077</v>
      </c>
    </row>
    <row r="212" spans="1:4" x14ac:dyDescent="0.2">
      <c r="A212" s="248">
        <v>360505</v>
      </c>
      <c r="B212" s="156" t="s">
        <v>14</v>
      </c>
      <c r="C212" s="233">
        <f>+'BP 311220x3'!C74</f>
        <v>3788945993.4063072</v>
      </c>
      <c r="D212" s="233"/>
    </row>
    <row r="213" spans="1:4" x14ac:dyDescent="0.2">
      <c r="B213" s="6"/>
      <c r="C213" s="107">
        <f>SUM(C210:C212)</f>
        <v>3788945993.4063072</v>
      </c>
      <c r="D213" s="107">
        <f>SUM(D210:D212)</f>
        <v>3788945993.4063072</v>
      </c>
    </row>
    <row r="214" spans="1:4" x14ac:dyDescent="0.2">
      <c r="B214" s="6"/>
    </row>
    <row r="215" spans="1:4" x14ac:dyDescent="0.2">
      <c r="B215" s="6"/>
    </row>
    <row r="216" spans="1:4" x14ac:dyDescent="0.2">
      <c r="B216" s="6"/>
    </row>
    <row r="217" spans="1:4" x14ac:dyDescent="0.2">
      <c r="B217" s="6"/>
    </row>
    <row r="218" spans="1:4" x14ac:dyDescent="0.2">
      <c r="B218" s="6"/>
    </row>
    <row r="219" spans="1:4" x14ac:dyDescent="0.2">
      <c r="A219" s="231"/>
      <c r="B219" s="23" t="s">
        <v>366</v>
      </c>
      <c r="C219" s="232"/>
      <c r="D219" s="232"/>
    </row>
    <row r="220" spans="1:4" x14ac:dyDescent="0.2">
      <c r="A220" s="155"/>
      <c r="B220" s="156"/>
      <c r="C220" s="106" t="s">
        <v>168</v>
      </c>
      <c r="D220" s="106" t="s">
        <v>169</v>
      </c>
    </row>
    <row r="221" spans="1:4" x14ac:dyDescent="0.2">
      <c r="A221" s="248">
        <v>619810</v>
      </c>
      <c r="B221" s="156" t="s">
        <v>183</v>
      </c>
      <c r="C221" s="233"/>
      <c r="D221" s="233">
        <v>40125000</v>
      </c>
    </row>
    <row r="222" spans="1:4" x14ac:dyDescent="0.2">
      <c r="A222" s="248">
        <v>422005</v>
      </c>
      <c r="B222" s="156" t="s">
        <v>79</v>
      </c>
      <c r="C222" s="233"/>
      <c r="D222" s="233">
        <v>62345000</v>
      </c>
    </row>
    <row r="223" spans="1:4" x14ac:dyDescent="0.2">
      <c r="A223" s="248">
        <v>511595</v>
      </c>
      <c r="B223" s="156" t="s">
        <v>280</v>
      </c>
      <c r="C223" s="233">
        <f>30000000*4</f>
        <v>120000000</v>
      </c>
      <c r="D223" s="233"/>
    </row>
    <row r="224" spans="1:4" x14ac:dyDescent="0.2">
      <c r="A224" s="248">
        <v>511515</v>
      </c>
      <c r="B224" s="156" t="s">
        <v>279</v>
      </c>
      <c r="C224" s="233">
        <v>67543000</v>
      </c>
      <c r="D224" s="233"/>
    </row>
    <row r="225" spans="1:4" x14ac:dyDescent="0.2">
      <c r="A225" s="248">
        <v>511590</v>
      </c>
      <c r="B225" s="156" t="s">
        <v>187</v>
      </c>
      <c r="C225" s="233">
        <v>6543000</v>
      </c>
      <c r="D225" s="233"/>
    </row>
    <row r="226" spans="1:4" x14ac:dyDescent="0.2">
      <c r="A226" s="248">
        <v>511005</v>
      </c>
      <c r="B226" s="156" t="s">
        <v>230</v>
      </c>
      <c r="C226" s="233">
        <v>145000000</v>
      </c>
      <c r="D226" s="233"/>
    </row>
    <row r="227" spans="1:4" x14ac:dyDescent="0.2">
      <c r="A227" s="248">
        <v>512005</v>
      </c>
      <c r="B227" s="156" t="s">
        <v>227</v>
      </c>
      <c r="C227" s="233">
        <v>132000000</v>
      </c>
      <c r="D227" s="233"/>
    </row>
    <row r="228" spans="1:4" x14ac:dyDescent="0.2">
      <c r="A228" s="248">
        <v>513505</v>
      </c>
      <c r="B228" s="156" t="s">
        <v>231</v>
      </c>
      <c r="C228" s="233">
        <v>756000000</v>
      </c>
      <c r="D228" s="233"/>
    </row>
    <row r="229" spans="1:4" x14ac:dyDescent="0.2">
      <c r="A229" s="248">
        <v>514005</v>
      </c>
      <c r="B229" s="156" t="s">
        <v>222</v>
      </c>
      <c r="C229" s="233">
        <v>43125000</v>
      </c>
      <c r="D229" s="233"/>
    </row>
    <row r="230" spans="1:4" x14ac:dyDescent="0.2">
      <c r="A230" s="248">
        <v>514505</v>
      </c>
      <c r="B230" s="156" t="s">
        <v>188</v>
      </c>
      <c r="C230" s="233">
        <v>157000000</v>
      </c>
      <c r="D230" s="233"/>
    </row>
    <row r="231" spans="1:4" x14ac:dyDescent="0.2">
      <c r="A231" s="248">
        <v>513005</v>
      </c>
      <c r="B231" s="156" t="s">
        <v>189</v>
      </c>
      <c r="C231" s="233">
        <v>41562000</v>
      </c>
      <c r="D231" s="233"/>
    </row>
    <row r="232" spans="1:4" x14ac:dyDescent="0.2">
      <c r="A232" s="248">
        <v>515505</v>
      </c>
      <c r="B232" s="156" t="s">
        <v>218</v>
      </c>
      <c r="C232" s="233">
        <v>51435000</v>
      </c>
      <c r="D232" s="233"/>
    </row>
    <row r="233" spans="1:4" x14ac:dyDescent="0.2">
      <c r="A233" s="248">
        <v>519510</v>
      </c>
      <c r="B233" s="156" t="s">
        <v>228</v>
      </c>
      <c r="C233" s="233">
        <v>11234000</v>
      </c>
      <c r="D233" s="233"/>
    </row>
    <row r="234" spans="1:4" x14ac:dyDescent="0.2">
      <c r="A234" s="248">
        <v>519530</v>
      </c>
      <c r="B234" s="156" t="s">
        <v>397</v>
      </c>
      <c r="C234" s="233">
        <v>76543000</v>
      </c>
      <c r="D234" s="233"/>
    </row>
    <row r="235" spans="1:4" x14ac:dyDescent="0.2">
      <c r="A235" s="248">
        <v>519585</v>
      </c>
      <c r="B235" s="156" t="s">
        <v>232</v>
      </c>
      <c r="C235" s="233">
        <v>67876000</v>
      </c>
      <c r="D235" s="233"/>
    </row>
    <row r="236" spans="1:4" x14ac:dyDescent="0.2">
      <c r="A236" s="248">
        <v>530505</v>
      </c>
      <c r="B236" s="156" t="s">
        <v>285</v>
      </c>
      <c r="C236" s="233">
        <v>13456000</v>
      </c>
      <c r="D236" s="233"/>
    </row>
    <row r="237" spans="1:4" x14ac:dyDescent="0.2">
      <c r="A237" s="248">
        <v>530520</v>
      </c>
      <c r="B237" s="156" t="s">
        <v>151</v>
      </c>
      <c r="C237" s="233">
        <v>9870000</v>
      </c>
      <c r="D237" s="233"/>
    </row>
    <row r="238" spans="1:4" x14ac:dyDescent="0.2">
      <c r="A238" s="248">
        <v>111005</v>
      </c>
      <c r="B238" s="156" t="s">
        <v>88</v>
      </c>
      <c r="C238" s="233">
        <f>+D221+D222</f>
        <v>102470000</v>
      </c>
      <c r="D238" s="233">
        <f>SUM(C223:C237)</f>
        <v>1699187000</v>
      </c>
    </row>
    <row r="239" spans="1:4" x14ac:dyDescent="0.2">
      <c r="B239" s="6"/>
      <c r="C239" s="107">
        <f>SUM(C221:C238)</f>
        <v>1801657000</v>
      </c>
      <c r="D239" s="107">
        <f>SUM(D221:D238)</f>
        <v>1801657000</v>
      </c>
    </row>
    <row r="240" spans="1:4" x14ac:dyDescent="0.2">
      <c r="B240" s="6"/>
    </row>
    <row r="241" spans="1:5" x14ac:dyDescent="0.2">
      <c r="B241" s="6"/>
    </row>
    <row r="242" spans="1:5" x14ac:dyDescent="0.2">
      <c r="B242" s="6"/>
    </row>
    <row r="243" spans="1:5" x14ac:dyDescent="0.2">
      <c r="A243" s="231"/>
      <c r="B243" s="23" t="s">
        <v>382</v>
      </c>
      <c r="C243" s="232"/>
      <c r="D243" s="232"/>
    </row>
    <row r="244" spans="1:5" x14ac:dyDescent="0.2">
      <c r="A244" s="155"/>
      <c r="B244" s="156"/>
      <c r="C244" s="106" t="s">
        <v>168</v>
      </c>
      <c r="D244" s="106" t="s">
        <v>169</v>
      </c>
    </row>
    <row r="245" spans="1:5" ht="13.5" customHeight="1" x14ac:dyDescent="0.2">
      <c r="A245" s="248">
        <v>540505</v>
      </c>
      <c r="B245" s="156" t="s">
        <v>286</v>
      </c>
      <c r="C245" s="233">
        <f>+'Imp corriente'!D132</f>
        <v>2479477000</v>
      </c>
      <c r="D245" s="233"/>
      <c r="E245" s="229" t="s">
        <v>364</v>
      </c>
    </row>
    <row r="246" spans="1:5" ht="13.5" customHeight="1" x14ac:dyDescent="0.2">
      <c r="A246" s="248">
        <v>135515</v>
      </c>
      <c r="B246" s="156" t="s">
        <v>301</v>
      </c>
      <c r="C246" s="233"/>
      <c r="D246" s="233">
        <f>+'BP 311220x3'!D22</f>
        <v>744440000</v>
      </c>
      <c r="E246" s="229" t="s">
        <v>383</v>
      </c>
    </row>
    <row r="247" spans="1:5" x14ac:dyDescent="0.2">
      <c r="A247" s="248">
        <v>240404</v>
      </c>
      <c r="B247" s="156" t="s">
        <v>74</v>
      </c>
      <c r="C247" s="233"/>
      <c r="D247" s="233">
        <f>+C245-D246</f>
        <v>1735037000</v>
      </c>
    </row>
    <row r="248" spans="1:5" x14ac:dyDescent="0.2">
      <c r="B248" s="6"/>
      <c r="C248" s="107">
        <f>SUM(C245:C247)</f>
        <v>2479477000</v>
      </c>
      <c r="D248" s="107">
        <f>SUM(D245:D247)</f>
        <v>2479477000</v>
      </c>
    </row>
    <row r="249" spans="1:5" x14ac:dyDescent="0.2">
      <c r="B249" s="6"/>
    </row>
    <row r="250" spans="1:5" x14ac:dyDescent="0.2">
      <c r="A250" s="6"/>
      <c r="B250" s="6"/>
      <c r="C250" s="107"/>
      <c r="D250" s="107"/>
      <c r="E250" s="6"/>
    </row>
    <row r="251" spans="1:5" x14ac:dyDescent="0.2">
      <c r="A251" s="6"/>
      <c r="B251" s="6"/>
      <c r="C251" s="107"/>
      <c r="D251" s="107"/>
      <c r="E251" s="6"/>
    </row>
    <row r="252" spans="1:5" x14ac:dyDescent="0.2">
      <c r="A252" s="6"/>
      <c r="B252" s="6"/>
      <c r="C252" s="107"/>
      <c r="D252" s="107"/>
      <c r="E252" s="6"/>
    </row>
    <row r="253" spans="1:5" x14ac:dyDescent="0.2">
      <c r="A253" s="6"/>
      <c r="B253" s="6"/>
      <c r="C253" s="107"/>
      <c r="D253" s="107"/>
      <c r="E253" s="6"/>
    </row>
    <row r="254" spans="1:5" x14ac:dyDescent="0.2">
      <c r="A254" s="6"/>
      <c r="B254" s="6"/>
      <c r="C254" s="107"/>
      <c r="D254" s="107"/>
      <c r="E254" s="6"/>
    </row>
    <row r="255" spans="1:5" x14ac:dyDescent="0.2">
      <c r="A255" s="231"/>
      <c r="B255" s="23" t="s">
        <v>519</v>
      </c>
      <c r="C255" s="232"/>
      <c r="D255" s="232"/>
      <c r="E255" s="6"/>
    </row>
    <row r="256" spans="1:5" x14ac:dyDescent="0.2">
      <c r="A256" s="155"/>
      <c r="B256" s="156"/>
      <c r="C256" s="106" t="s">
        <v>168</v>
      </c>
      <c r="D256" s="106" t="s">
        <v>169</v>
      </c>
      <c r="E256" s="6"/>
    </row>
    <row r="257" spans="1:6" x14ac:dyDescent="0.2">
      <c r="A257" s="248">
        <v>154010</v>
      </c>
      <c r="B257" s="156" t="s">
        <v>162</v>
      </c>
      <c r="C257" s="233"/>
      <c r="D257" s="233"/>
      <c r="E257" s="229" t="s">
        <v>507</v>
      </c>
    </row>
    <row r="258" spans="1:6" x14ac:dyDescent="0.2">
      <c r="A258" s="248">
        <v>154010</v>
      </c>
      <c r="B258" s="156" t="s">
        <v>162</v>
      </c>
      <c r="C258" s="233"/>
      <c r="D258" s="233"/>
      <c r="E258" s="229" t="s">
        <v>508</v>
      </c>
    </row>
    <row r="259" spans="1:6" x14ac:dyDescent="0.2">
      <c r="A259" s="248">
        <v>424505</v>
      </c>
      <c r="B259" s="156" t="s">
        <v>509</v>
      </c>
      <c r="C259" s="233"/>
      <c r="D259" s="233"/>
      <c r="E259" s="6"/>
    </row>
    <row r="260" spans="1:6" x14ac:dyDescent="0.2">
      <c r="A260" s="248">
        <v>111005</v>
      </c>
      <c r="B260" s="156" t="s">
        <v>88</v>
      </c>
      <c r="C260" s="233"/>
      <c r="D260" s="233"/>
      <c r="E260" s="6"/>
    </row>
    <row r="261" spans="1:6" x14ac:dyDescent="0.2">
      <c r="A261" s="248">
        <v>424505</v>
      </c>
      <c r="B261" s="156" t="s">
        <v>509</v>
      </c>
      <c r="C261" s="233"/>
      <c r="D261" s="233"/>
      <c r="E261" s="6"/>
    </row>
    <row r="262" spans="1:6" x14ac:dyDescent="0.2">
      <c r="B262" s="6"/>
      <c r="C262" s="107">
        <f>SUM(C257:C261)</f>
        <v>0</v>
      </c>
      <c r="D262" s="107">
        <f>SUM(D257:D261)</f>
        <v>0</v>
      </c>
      <c r="E262" s="6"/>
    </row>
    <row r="263" spans="1:6" x14ac:dyDescent="0.2">
      <c r="A263" s="6"/>
      <c r="B263" s="6"/>
      <c r="C263" s="107"/>
      <c r="D263" s="107"/>
      <c r="E263" s="6"/>
    </row>
    <row r="264" spans="1:6" x14ac:dyDescent="0.2">
      <c r="B264" s="6"/>
    </row>
    <row r="265" spans="1:6" s="193" customFormat="1" x14ac:dyDescent="0.2">
      <c r="A265" s="234"/>
      <c r="B265" s="29" t="s">
        <v>384</v>
      </c>
      <c r="C265" s="235"/>
      <c r="D265" s="235"/>
      <c r="F265" s="229"/>
    </row>
    <row r="266" spans="1:6" s="193" customFormat="1" x14ac:dyDescent="0.2">
      <c r="A266" s="234"/>
      <c r="B266" s="29"/>
      <c r="C266" s="235"/>
      <c r="D266" s="235"/>
      <c r="F266" s="229"/>
    </row>
    <row r="267" spans="1:6" x14ac:dyDescent="0.2">
      <c r="B267" s="6"/>
    </row>
    <row r="268" spans="1:6" x14ac:dyDescent="0.2">
      <c r="A268" s="231"/>
      <c r="B268" s="23" t="s">
        <v>422</v>
      </c>
      <c r="C268" s="232"/>
      <c r="D268" s="232"/>
    </row>
    <row r="269" spans="1:6" x14ac:dyDescent="0.2">
      <c r="A269" s="155"/>
      <c r="B269" s="156" t="s">
        <v>0</v>
      </c>
      <c r="C269" s="106" t="s">
        <v>168</v>
      </c>
      <c r="D269" s="106" t="s">
        <v>169</v>
      </c>
    </row>
    <row r="270" spans="1:6" x14ac:dyDescent="0.2">
      <c r="A270" s="248">
        <v>120551</v>
      </c>
      <c r="B270" s="195" t="s">
        <v>1050</v>
      </c>
      <c r="C270" s="233"/>
      <c r="D270" s="233">
        <f>-Acciones!E87</f>
        <v>22192310</v>
      </c>
    </row>
    <row r="271" spans="1:6" x14ac:dyDescent="0.2">
      <c r="A271" s="195">
        <v>120521</v>
      </c>
      <c r="B271" s="195" t="s">
        <v>1051</v>
      </c>
      <c r="C271" s="233"/>
      <c r="D271" s="233">
        <f>-Acciones!E88</f>
        <v>106785780</v>
      </c>
    </row>
    <row r="272" spans="1:6" x14ac:dyDescent="0.2">
      <c r="A272" s="248">
        <v>430505</v>
      </c>
      <c r="B272" s="156" t="s">
        <v>181</v>
      </c>
      <c r="C272" s="233">
        <f>-Acciones!E87-Acciones!E88</f>
        <v>128978090</v>
      </c>
      <c r="D272" s="233"/>
    </row>
    <row r="273" spans="1:5" x14ac:dyDescent="0.2">
      <c r="C273" s="107">
        <f>SUM(C270:C272)</f>
        <v>128978090</v>
      </c>
      <c r="D273" s="107">
        <f>SUM(D270:D272)</f>
        <v>128978090</v>
      </c>
    </row>
    <row r="277" spans="1:5" x14ac:dyDescent="0.2">
      <c r="A277" s="231"/>
      <c r="B277" s="23" t="s">
        <v>423</v>
      </c>
      <c r="C277" s="232"/>
      <c r="D277" s="232"/>
    </row>
    <row r="278" spans="1:5" x14ac:dyDescent="0.2">
      <c r="A278" s="155"/>
      <c r="B278" s="156" t="s">
        <v>0</v>
      </c>
      <c r="C278" s="106" t="s">
        <v>168</v>
      </c>
      <c r="D278" s="106" t="s">
        <v>169</v>
      </c>
    </row>
    <row r="279" spans="1:5" x14ac:dyDescent="0.2">
      <c r="A279" s="195">
        <v>129505</v>
      </c>
      <c r="B279" s="156" t="s">
        <v>170</v>
      </c>
      <c r="C279" s="233"/>
      <c r="D279" s="233">
        <f>+Derivados!D23+Derivados!D24</f>
        <v>147051000</v>
      </c>
      <c r="E279" s="229" t="s">
        <v>289</v>
      </c>
    </row>
    <row r="280" spans="1:5" x14ac:dyDescent="0.2">
      <c r="A280" s="195">
        <v>210595</v>
      </c>
      <c r="B280" s="156" t="s">
        <v>170</v>
      </c>
      <c r="C280" s="233">
        <f>-Derivados!D25-Derivados!D26</f>
        <v>5052000</v>
      </c>
      <c r="D280" s="233"/>
      <c r="E280" s="229" t="s">
        <v>289</v>
      </c>
    </row>
    <row r="281" spans="1:5" x14ac:dyDescent="0.2">
      <c r="A281" s="195">
        <v>129505</v>
      </c>
      <c r="B281" s="156" t="s">
        <v>170</v>
      </c>
      <c r="C281" s="233">
        <f>+Derivados!D40</f>
        <v>26526324</v>
      </c>
      <c r="D281" s="233"/>
      <c r="E281" s="229" t="s">
        <v>177</v>
      </c>
    </row>
    <row r="282" spans="1:5" x14ac:dyDescent="0.2">
      <c r="A282" s="195">
        <v>210595</v>
      </c>
      <c r="B282" s="156" t="s">
        <v>170</v>
      </c>
      <c r="C282" s="233"/>
      <c r="D282" s="233">
        <f>-Derivados!D41-Derivados!D42-Derivados!D43</f>
        <v>37700100</v>
      </c>
      <c r="E282" s="229" t="s">
        <v>177</v>
      </c>
    </row>
    <row r="283" spans="1:5" x14ac:dyDescent="0.2">
      <c r="A283" s="195">
        <v>431505</v>
      </c>
      <c r="B283" s="156" t="s">
        <v>385</v>
      </c>
      <c r="C283" s="233">
        <f>+D279+D282</f>
        <v>184751100</v>
      </c>
      <c r="D283" s="233">
        <f>+C280+C281</f>
        <v>31578324</v>
      </c>
      <c r="E283" s="229" t="s">
        <v>506</v>
      </c>
    </row>
    <row r="284" spans="1:5" x14ac:dyDescent="0.2">
      <c r="C284" s="107">
        <f>SUM(C279:C283)</f>
        <v>216329424</v>
      </c>
      <c r="D284" s="107">
        <f>SUM(D279:D283)</f>
        <v>216329424</v>
      </c>
    </row>
    <row r="285" spans="1:5" x14ac:dyDescent="0.2">
      <c r="C285" s="107"/>
      <c r="D285" s="107"/>
    </row>
    <row r="286" spans="1:5" x14ac:dyDescent="0.2">
      <c r="C286" s="107"/>
      <c r="D286" s="107"/>
    </row>
    <row r="288" spans="1:5" x14ac:dyDescent="0.2">
      <c r="A288" s="231"/>
      <c r="B288" s="23" t="s">
        <v>513</v>
      </c>
      <c r="C288" s="232"/>
      <c r="D288" s="232"/>
    </row>
    <row r="289" spans="1:5" x14ac:dyDescent="0.2">
      <c r="A289" s="155"/>
      <c r="B289" s="156" t="s">
        <v>0</v>
      </c>
      <c r="C289" s="106" t="s">
        <v>168</v>
      </c>
      <c r="D289" s="106" t="s">
        <v>169</v>
      </c>
    </row>
    <row r="290" spans="1:5" x14ac:dyDescent="0.2">
      <c r="A290" s="195">
        <v>149905</v>
      </c>
      <c r="B290" s="156" t="s">
        <v>207</v>
      </c>
      <c r="C290" s="233">
        <f>-Inventarios!E62</f>
        <v>25350000</v>
      </c>
      <c r="D290" s="233"/>
      <c r="E290" s="229" t="s">
        <v>288</v>
      </c>
    </row>
    <row r="291" spans="1:5" x14ac:dyDescent="0.2">
      <c r="A291" s="195">
        <v>149905</v>
      </c>
      <c r="B291" s="156" t="s">
        <v>207</v>
      </c>
      <c r="C291" s="233"/>
      <c r="D291" s="233">
        <f>-Inventarios!E128</f>
        <v>0</v>
      </c>
      <c r="E291" s="229" t="s">
        <v>424</v>
      </c>
    </row>
    <row r="292" spans="1:5" x14ac:dyDescent="0.2">
      <c r="A292" s="195">
        <v>619905</v>
      </c>
      <c r="B292" s="156" t="s">
        <v>284</v>
      </c>
      <c r="C292" s="233">
        <f>+D291</f>
        <v>0</v>
      </c>
      <c r="D292" s="233">
        <f>+C290</f>
        <v>25350000</v>
      </c>
      <c r="E292" s="229" t="s">
        <v>388</v>
      </c>
    </row>
    <row r="293" spans="1:5" x14ac:dyDescent="0.2">
      <c r="C293" s="107">
        <f>SUM(C290:C292)</f>
        <v>25350000</v>
      </c>
      <c r="D293" s="107">
        <f>SUM(D290:D292)</f>
        <v>25350000</v>
      </c>
    </row>
    <row r="294" spans="1:5" x14ac:dyDescent="0.2">
      <c r="C294" s="107"/>
      <c r="D294" s="107"/>
    </row>
    <row r="296" spans="1:5" x14ac:dyDescent="0.2">
      <c r="A296" s="231"/>
      <c r="B296" s="23" t="s">
        <v>514</v>
      </c>
      <c r="C296" s="232"/>
      <c r="D296" s="232"/>
    </row>
    <row r="297" spans="1:5" x14ac:dyDescent="0.2">
      <c r="A297" s="155"/>
      <c r="B297" s="156" t="s">
        <v>0</v>
      </c>
      <c r="C297" s="106" t="s">
        <v>168</v>
      </c>
      <c r="D297" s="106" t="s">
        <v>169</v>
      </c>
    </row>
    <row r="298" spans="1:5" x14ac:dyDescent="0.2">
      <c r="A298" s="248">
        <v>144597</v>
      </c>
      <c r="B298" s="156" t="s">
        <v>1083</v>
      </c>
      <c r="C298" s="233">
        <f>+Inventarios!N160</f>
        <v>134067000</v>
      </c>
      <c r="D298" s="233"/>
    </row>
    <row r="299" spans="1:5" x14ac:dyDescent="0.2">
      <c r="A299" s="195">
        <v>410595</v>
      </c>
      <c r="B299" s="156" t="s">
        <v>276</v>
      </c>
      <c r="C299" s="233"/>
      <c r="D299" s="233">
        <f>+Inventarios!F154</f>
        <v>148000000</v>
      </c>
      <c r="E299" s="229" t="s">
        <v>291</v>
      </c>
    </row>
    <row r="300" spans="1:5" x14ac:dyDescent="0.2">
      <c r="A300" s="195">
        <v>410595</v>
      </c>
      <c r="B300" s="156" t="s">
        <v>276</v>
      </c>
      <c r="C300" s="233">
        <f>-Inventarios!G154</f>
        <v>46000000</v>
      </c>
      <c r="D300" s="233"/>
      <c r="E300" s="229" t="s">
        <v>292</v>
      </c>
    </row>
    <row r="301" spans="1:5" x14ac:dyDescent="0.2">
      <c r="A301" s="195">
        <v>410595</v>
      </c>
      <c r="B301" s="156" t="s">
        <v>276</v>
      </c>
      <c r="C301" s="233"/>
      <c r="D301" s="233">
        <f>+Inventarios!N157</f>
        <v>32067000</v>
      </c>
      <c r="E301" s="229" t="s">
        <v>330</v>
      </c>
    </row>
    <row r="302" spans="1:5" x14ac:dyDescent="0.2">
      <c r="C302" s="107">
        <f>SUM(C298:C301)</f>
        <v>180067000</v>
      </c>
      <c r="D302" s="107">
        <f>SUM(D298:D301)</f>
        <v>180067000</v>
      </c>
    </row>
    <row r="307" spans="1:5" x14ac:dyDescent="0.2">
      <c r="A307" s="231"/>
      <c r="B307" s="23" t="s">
        <v>515</v>
      </c>
      <c r="C307" s="232"/>
      <c r="D307" s="232"/>
    </row>
    <row r="308" spans="1:5" x14ac:dyDescent="0.2">
      <c r="A308" s="155"/>
      <c r="B308" s="156" t="s">
        <v>0</v>
      </c>
      <c r="C308" s="106" t="s">
        <v>168</v>
      </c>
      <c r="D308" s="106" t="s">
        <v>169</v>
      </c>
    </row>
    <row r="309" spans="1:5" x14ac:dyDescent="0.2">
      <c r="A309" s="195">
        <v>210510</v>
      </c>
      <c r="B309" s="156" t="s">
        <v>211</v>
      </c>
      <c r="C309" s="233"/>
      <c r="D309" s="233">
        <f>+C310</f>
        <v>20591301</v>
      </c>
    </row>
    <row r="310" spans="1:5" x14ac:dyDescent="0.2">
      <c r="A310" s="248">
        <v>530522</v>
      </c>
      <c r="B310" s="156" t="s">
        <v>391</v>
      </c>
      <c r="C310" s="233">
        <f>-ROUND((Pasivos!W118),0)</f>
        <v>20591301</v>
      </c>
      <c r="D310" s="233"/>
    </row>
    <row r="311" spans="1:5" x14ac:dyDescent="0.2">
      <c r="C311" s="107">
        <f>SUM(C309:C310)</f>
        <v>20591301</v>
      </c>
      <c r="D311" s="107">
        <f>SUM(D309:D310)</f>
        <v>20591301</v>
      </c>
    </row>
    <row r="316" spans="1:5" x14ac:dyDescent="0.2">
      <c r="A316" s="231"/>
      <c r="B316" s="23" t="s">
        <v>516</v>
      </c>
      <c r="C316" s="232"/>
      <c r="D316" s="232"/>
    </row>
    <row r="317" spans="1:5" x14ac:dyDescent="0.2">
      <c r="A317" s="155"/>
      <c r="B317" s="156" t="s">
        <v>0</v>
      </c>
      <c r="C317" s="106" t="s">
        <v>168</v>
      </c>
      <c r="D317" s="106" t="s">
        <v>169</v>
      </c>
    </row>
    <row r="318" spans="1:5" x14ac:dyDescent="0.2">
      <c r="A318" s="248">
        <v>263505</v>
      </c>
      <c r="B318" s="156" t="s">
        <v>25</v>
      </c>
      <c r="C318" s="233"/>
      <c r="D318" s="233">
        <f>+C320+C322</f>
        <v>92681312</v>
      </c>
      <c r="E318" s="229" t="s">
        <v>511</v>
      </c>
    </row>
    <row r="319" spans="1:5" x14ac:dyDescent="0.2">
      <c r="A319" s="248">
        <v>263505</v>
      </c>
      <c r="B319" s="156" t="s">
        <v>25</v>
      </c>
      <c r="C319" s="233">
        <f>+D321</f>
        <v>135074000</v>
      </c>
      <c r="D319" s="233"/>
      <c r="E319" s="229" t="s">
        <v>512</v>
      </c>
    </row>
    <row r="320" spans="1:5" x14ac:dyDescent="0.2">
      <c r="A320" s="248">
        <v>530521</v>
      </c>
      <c r="B320" s="156" t="s">
        <v>392</v>
      </c>
      <c r="C320" s="233">
        <f>+ROUND((Pasivos!I148),0)</f>
        <v>15332441</v>
      </c>
      <c r="D320" s="233"/>
      <c r="E320" s="229" t="s">
        <v>510</v>
      </c>
    </row>
    <row r="321" spans="1:5" x14ac:dyDescent="0.2">
      <c r="A321" s="248">
        <v>539505</v>
      </c>
      <c r="B321" s="156" t="s">
        <v>283</v>
      </c>
      <c r="C321" s="233"/>
      <c r="D321" s="233">
        <f>+Pasivos!I152</f>
        <v>135074000</v>
      </c>
      <c r="E321" s="229" t="s">
        <v>512</v>
      </c>
    </row>
    <row r="322" spans="1:5" x14ac:dyDescent="0.2">
      <c r="A322" s="195">
        <v>539505</v>
      </c>
      <c r="B322" s="156" t="s">
        <v>283</v>
      </c>
      <c r="C322" s="233">
        <f>+ROUND((Pasivos!I153),0)</f>
        <v>77348871</v>
      </c>
      <c r="D322" s="233"/>
      <c r="E322" s="229" t="s">
        <v>393</v>
      </c>
    </row>
    <row r="323" spans="1:5" x14ac:dyDescent="0.2">
      <c r="C323" s="107">
        <f>SUM(C318:C322)</f>
        <v>227755312</v>
      </c>
      <c r="D323" s="107">
        <f>SUM(D318:D322)</f>
        <v>227755312</v>
      </c>
    </row>
    <row r="328" spans="1:5" x14ac:dyDescent="0.2">
      <c r="A328" s="231"/>
      <c r="B328" s="23" t="s">
        <v>517</v>
      </c>
      <c r="C328" s="232"/>
      <c r="D328" s="232"/>
    </row>
    <row r="329" spans="1:5" x14ac:dyDescent="0.2">
      <c r="A329" s="155"/>
      <c r="B329" s="156" t="s">
        <v>0</v>
      </c>
      <c r="C329" s="106" t="s">
        <v>168</v>
      </c>
      <c r="D329" s="106" t="s">
        <v>169</v>
      </c>
    </row>
    <row r="330" spans="1:5" x14ac:dyDescent="0.2">
      <c r="A330" s="248">
        <v>192097</v>
      </c>
      <c r="B330" s="156" t="s">
        <v>1094</v>
      </c>
      <c r="C330" s="233">
        <f>+PPYE!F71-PPYE!F39</f>
        <v>45000000</v>
      </c>
      <c r="D330" s="233"/>
    </row>
    <row r="331" spans="1:5" x14ac:dyDescent="0.2">
      <c r="A331" s="248">
        <v>192097</v>
      </c>
      <c r="B331" s="156" t="s">
        <v>1094</v>
      </c>
      <c r="C331" s="233">
        <f>+PPYE!F72-PPYE!F40</f>
        <v>2000000</v>
      </c>
      <c r="D331" s="233"/>
    </row>
    <row r="332" spans="1:5" x14ac:dyDescent="0.2">
      <c r="A332" s="248">
        <v>431005</v>
      </c>
      <c r="B332" s="156" t="s">
        <v>182</v>
      </c>
      <c r="C332" s="233"/>
      <c r="D332" s="233">
        <f>+C330+C331</f>
        <v>47000000</v>
      </c>
    </row>
    <row r="339" spans="1:5" x14ac:dyDescent="0.2">
      <c r="A339" s="231"/>
      <c r="B339" s="23" t="s">
        <v>518</v>
      </c>
      <c r="C339" s="232"/>
      <c r="D339" s="232"/>
    </row>
    <row r="340" spans="1:5" x14ac:dyDescent="0.2">
      <c r="A340" s="155"/>
      <c r="B340" s="156" t="s">
        <v>0</v>
      </c>
      <c r="C340" s="106" t="s">
        <v>168</v>
      </c>
      <c r="D340" s="106" t="s">
        <v>169</v>
      </c>
    </row>
    <row r="341" spans="1:5" x14ac:dyDescent="0.2">
      <c r="A341" s="195">
        <v>271095</v>
      </c>
      <c r="B341" s="156" t="s">
        <v>62</v>
      </c>
      <c r="C341" s="233">
        <f>-'Imp diferidos'!F154</f>
        <v>848838343.1909194</v>
      </c>
      <c r="D341" s="233"/>
      <c r="E341" s="229" t="s">
        <v>288</v>
      </c>
    </row>
    <row r="342" spans="1:5" x14ac:dyDescent="0.2">
      <c r="A342" s="195">
        <v>271095</v>
      </c>
      <c r="B342" s="156" t="s">
        <v>62</v>
      </c>
      <c r="C342" s="233"/>
      <c r="D342" s="233">
        <f>-'Imp diferidos'!F232</f>
        <v>0</v>
      </c>
      <c r="E342" s="229" t="s">
        <v>520</v>
      </c>
    </row>
    <row r="343" spans="1:5" x14ac:dyDescent="0.2">
      <c r="A343" s="195">
        <v>540510</v>
      </c>
      <c r="B343" s="156" t="s">
        <v>192</v>
      </c>
      <c r="C343" s="233">
        <f>+D342-C341</f>
        <v>-848838343.1909194</v>
      </c>
      <c r="D343" s="233"/>
      <c r="E343" s="229" t="s">
        <v>521</v>
      </c>
    </row>
    <row r="344" spans="1:5" x14ac:dyDescent="0.2">
      <c r="C344" s="107">
        <f>SUM(C341:C343)</f>
        <v>0</v>
      </c>
      <c r="D344" s="107">
        <f>SUM(D341:D343)</f>
        <v>0</v>
      </c>
    </row>
    <row r="350" spans="1:5" x14ac:dyDescent="0.2">
      <c r="A350" s="231"/>
      <c r="B350" s="23" t="s">
        <v>884</v>
      </c>
      <c r="C350" s="232"/>
      <c r="D350" s="232"/>
    </row>
    <row r="351" spans="1:5" x14ac:dyDescent="0.2">
      <c r="A351" s="155"/>
      <c r="B351" s="156" t="s">
        <v>0</v>
      </c>
      <c r="C351" s="106" t="s">
        <v>168</v>
      </c>
      <c r="D351" s="106" t="s">
        <v>169</v>
      </c>
    </row>
    <row r="352" spans="1:5" x14ac:dyDescent="0.2">
      <c r="A352" s="195">
        <v>150405</v>
      </c>
      <c r="B352" s="156" t="s">
        <v>220</v>
      </c>
      <c r="C352" s="233"/>
      <c r="D352" s="233"/>
    </row>
    <row r="353" spans="1:4" x14ac:dyDescent="0.2">
      <c r="A353" s="195">
        <v>150407</v>
      </c>
      <c r="B353" s="156" t="s">
        <v>163</v>
      </c>
      <c r="C353" s="233"/>
      <c r="D353" s="233"/>
    </row>
    <row r="354" spans="1:4" x14ac:dyDescent="0.2">
      <c r="A354" s="195">
        <v>151605</v>
      </c>
      <c r="B354" s="156" t="s">
        <v>219</v>
      </c>
      <c r="C354" s="233"/>
      <c r="D354" s="233"/>
    </row>
    <row r="355" spans="1:4" x14ac:dyDescent="0.2">
      <c r="A355" s="195">
        <v>380510</v>
      </c>
      <c r="B355" s="156" t="s">
        <v>885</v>
      </c>
      <c r="C355" s="233"/>
      <c r="D355" s="233"/>
    </row>
    <row r="356" spans="1:4" x14ac:dyDescent="0.2">
      <c r="C356" s="107">
        <f>SUM(C352:C355)</f>
        <v>0</v>
      </c>
      <c r="D356" s="107">
        <f>SUM(D352:D355)</f>
        <v>0</v>
      </c>
    </row>
    <row r="359" spans="1:4" x14ac:dyDescent="0.2">
      <c r="A359" s="231"/>
      <c r="B359" s="23" t="s">
        <v>1114</v>
      </c>
      <c r="C359" s="232"/>
      <c r="D359" s="232"/>
    </row>
    <row r="360" spans="1:4" x14ac:dyDescent="0.2">
      <c r="A360" s="155"/>
      <c r="B360" s="156" t="s">
        <v>0</v>
      </c>
      <c r="C360" s="106" t="s">
        <v>168</v>
      </c>
      <c r="D360" s="106" t="s">
        <v>169</v>
      </c>
    </row>
    <row r="361" spans="1:4" x14ac:dyDescent="0.2">
      <c r="A361" s="248">
        <v>799999</v>
      </c>
      <c r="B361" s="156" t="s">
        <v>224</v>
      </c>
      <c r="C361" s="233"/>
      <c r="D361" s="233">
        <f>Inventarios!C178+(C93-D93)+10545000</f>
        <v>19856802322</v>
      </c>
    </row>
    <row r="362" spans="1:4" x14ac:dyDescent="0.2">
      <c r="A362" s="248">
        <v>612005</v>
      </c>
      <c r="B362" s="156" t="s">
        <v>281</v>
      </c>
      <c r="C362" s="233">
        <f>+D361</f>
        <v>19856802322</v>
      </c>
      <c r="D362" s="233"/>
    </row>
  </sheetData>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150"/>
  <sheetViews>
    <sheetView showGridLines="0" zoomScale="90" zoomScaleNormal="90" workbookViewId="0">
      <pane xSplit="2" ySplit="5" topLeftCell="C6" activePane="bottomRight" state="frozen"/>
      <selection pane="topRight" activeCell="B1" sqref="B1"/>
      <selection pane="bottomLeft" activeCell="A4" sqref="A4"/>
      <selection pane="bottomRight" activeCell="C93" sqref="C93"/>
    </sheetView>
  </sheetViews>
  <sheetFormatPr baseColWidth="10" defaultRowHeight="12.75" x14ac:dyDescent="0.2"/>
  <cols>
    <col min="1" max="1" width="11.42578125" style="95"/>
    <col min="2" max="2" width="41.42578125" style="95" customWidth="1"/>
    <col min="3" max="3" width="21.42578125" style="207" customWidth="1"/>
    <col min="4" max="5" width="21.42578125" style="112" customWidth="1"/>
    <col min="6" max="6" width="21.42578125" style="213" customWidth="1"/>
    <col min="7" max="16384" width="11.42578125" style="95"/>
  </cols>
  <sheetData>
    <row r="1" spans="1:6" s="198" customFormat="1" x14ac:dyDescent="0.2">
      <c r="B1" s="199"/>
      <c r="C1" s="200"/>
      <c r="D1" s="200"/>
      <c r="E1" s="200"/>
      <c r="F1" s="200"/>
    </row>
    <row r="2" spans="1:6" s="52" customFormat="1" x14ac:dyDescent="0.2">
      <c r="B2" s="33" t="str">
        <f>+'BP 311220x2'!B2</f>
        <v>Empresa LVG SAS</v>
      </c>
      <c r="C2" s="201"/>
      <c r="D2" s="202"/>
      <c r="E2" s="201" t="s">
        <v>91</v>
      </c>
      <c r="F2" s="103" t="s">
        <v>73</v>
      </c>
    </row>
    <row r="3" spans="1:6" s="52" customFormat="1" x14ac:dyDescent="0.2">
      <c r="B3" s="33" t="s">
        <v>2140</v>
      </c>
      <c r="C3" s="201"/>
      <c r="D3" s="202"/>
      <c r="E3" s="201"/>
      <c r="F3" s="103"/>
    </row>
    <row r="4" spans="1:6" s="52" customFormat="1" x14ac:dyDescent="0.2">
      <c r="B4" s="33" t="s">
        <v>58</v>
      </c>
      <c r="C4" s="201"/>
      <c r="D4" s="201"/>
      <c r="E4" s="201"/>
      <c r="F4" s="201"/>
    </row>
    <row r="5" spans="1:6" x14ac:dyDescent="0.2">
      <c r="A5" s="203" t="s">
        <v>1013</v>
      </c>
      <c r="B5" s="204"/>
      <c r="C5" s="205" t="s">
        <v>289</v>
      </c>
      <c r="D5" s="205" t="s">
        <v>168</v>
      </c>
      <c r="E5" s="205" t="s">
        <v>169</v>
      </c>
      <c r="F5" s="206" t="s">
        <v>2137</v>
      </c>
    </row>
    <row r="6" spans="1:6" x14ac:dyDescent="0.2">
      <c r="D6" s="207"/>
      <c r="E6" s="207"/>
      <c r="F6" s="207"/>
    </row>
    <row r="7" spans="1:6" x14ac:dyDescent="0.2">
      <c r="A7" s="208">
        <f>+'BP 311220x2'!A7</f>
        <v>111005</v>
      </c>
      <c r="B7" s="208" t="str">
        <f>+'BP 311220x2'!B7</f>
        <v>Cuenta cte. Bancolombia</v>
      </c>
      <c r="C7" s="209">
        <f>+'BP 311220x2'!F7</f>
        <v>3742052742</v>
      </c>
      <c r="D7" s="209">
        <f>+SUMIF('Diario 20x3'!A:A,A7,'Diario 20x3'!C:C)</f>
        <v>34134430666</v>
      </c>
      <c r="E7" s="209">
        <f>+SUMIF('Diario 20x3'!A:A,A7,'Diario 20x3'!D:D)</f>
        <v>29445095569</v>
      </c>
      <c r="F7" s="209">
        <f>+C7+D7-E7</f>
        <v>8431387839</v>
      </c>
    </row>
    <row r="8" spans="1:6" x14ac:dyDescent="0.2">
      <c r="A8" s="208">
        <f>+'BP 311220x2'!A8</f>
        <v>111010</v>
      </c>
      <c r="B8" s="208" t="str">
        <f>+'BP 311220x2'!B8</f>
        <v xml:space="preserve">Cta Banco Miami </v>
      </c>
      <c r="C8" s="209">
        <f>+'BP 311220x2'!F8</f>
        <v>49173000</v>
      </c>
      <c r="D8" s="209">
        <f>+SUMIF('Diario 20x3'!A:A,A8,'Diario 20x3'!C:C)</f>
        <v>11634000</v>
      </c>
      <c r="E8" s="209">
        <f>+SUMIF('Diario 20x3'!A:A,A8,'Diario 20x3'!D:D)</f>
        <v>0</v>
      </c>
      <c r="F8" s="209">
        <f t="shared" ref="F8:F51" si="0">+C8+D8-E8</f>
        <v>60807000</v>
      </c>
    </row>
    <row r="9" spans="1:6" x14ac:dyDescent="0.2">
      <c r="A9" s="208">
        <f>+'BP 311220x2'!A9</f>
        <v>124505</v>
      </c>
      <c r="B9" s="208" t="str">
        <f>+'BP 311220x2'!B9</f>
        <v>Carteras colectivas</v>
      </c>
      <c r="C9" s="209">
        <f>+'BP 311220x2'!F9</f>
        <v>127192000</v>
      </c>
      <c r="D9" s="209">
        <f>+SUMIF('Diario 20x3'!A:A,A9,'Diario 20x3'!C:C)</f>
        <v>1145000</v>
      </c>
      <c r="E9" s="209">
        <f>+SUMIF('Diario 20x3'!A:A,A9,'Diario 20x3'!D:D)</f>
        <v>0</v>
      </c>
      <c r="F9" s="209">
        <f t="shared" si="0"/>
        <v>128337000</v>
      </c>
    </row>
    <row r="10" spans="1:6" x14ac:dyDescent="0.2">
      <c r="A10" s="208">
        <f>+'BP 311220x2'!A10</f>
        <v>111006</v>
      </c>
      <c r="B10" s="208" t="str">
        <f>+'BP 311220x2'!B10</f>
        <v>Cuenta cte. Banco Bogotá</v>
      </c>
      <c r="C10" s="209">
        <f>+'BP 311220x2'!F10</f>
        <v>112563000</v>
      </c>
      <c r="D10" s="209">
        <f>+SUMIF('Diario 20x3'!A:A,A10,'Diario 20x3'!C:C)</f>
        <v>54840000</v>
      </c>
      <c r="E10" s="209">
        <f>+SUMIF('Diario 20x3'!A:A,A10,'Diario 20x3'!D:D)</f>
        <v>149817000</v>
      </c>
      <c r="F10" s="209">
        <f t="shared" si="0"/>
        <v>17586000</v>
      </c>
    </row>
    <row r="11" spans="1:6" x14ac:dyDescent="0.2">
      <c r="A11" s="208">
        <f>+'BP 311220x2'!A11</f>
        <v>120550</v>
      </c>
      <c r="B11" s="208" t="str">
        <f>+'BP 311220x2'!B11</f>
        <v>Grupo Aval- preferencial (0.0094%)</v>
      </c>
      <c r="C11" s="209">
        <f>+'BP 311220x2'!F11</f>
        <v>325052000</v>
      </c>
      <c r="D11" s="209">
        <f>+SUMIF('Diario 20x3'!A:A,A11,'Diario 20x3'!C:C)</f>
        <v>0</v>
      </c>
      <c r="E11" s="209">
        <f>+SUMIF('Diario 20x3'!A:A,A11,'Diario 20x3'!D:D)</f>
        <v>0</v>
      </c>
      <c r="F11" s="209">
        <f t="shared" si="0"/>
        <v>325052000</v>
      </c>
    </row>
    <row r="12" spans="1:6" x14ac:dyDescent="0.2">
      <c r="A12" s="208">
        <f>+'BP 311220x2'!A12</f>
        <v>120551</v>
      </c>
      <c r="B12" s="208" t="str">
        <f>+'BP 311220x2'!B12</f>
        <v>Grupo aval - ajustes al VR</v>
      </c>
      <c r="C12" s="209">
        <f>+'BP 311220x2'!F12</f>
        <v>139681080</v>
      </c>
      <c r="D12" s="209">
        <f>+SUMIF('Diario 20x3'!A:A,A12,'Diario 20x3'!C:C)</f>
        <v>0</v>
      </c>
      <c r="E12" s="209">
        <f>+SUMIF('Diario 20x3'!A:A,A12,'Diario 20x3'!D:D)</f>
        <v>22192310</v>
      </c>
      <c r="F12" s="209">
        <f t="shared" si="0"/>
        <v>117488770</v>
      </c>
    </row>
    <row r="13" spans="1:6" x14ac:dyDescent="0.2">
      <c r="A13" s="208">
        <f>+'BP 311220x2'!A13</f>
        <v>120520</v>
      </c>
      <c r="B13" s="208" t="str">
        <f>+'BP 311220x2'!B13</f>
        <v>Ecopetrol SA (0,000005%)</v>
      </c>
      <c r="C13" s="209">
        <f>+'BP 311220x2'!F13</f>
        <v>650000000</v>
      </c>
      <c r="D13" s="209">
        <f>+SUMIF('Diario 20x3'!A:A,A13,'Diario 20x3'!C:C)</f>
        <v>0</v>
      </c>
      <c r="E13" s="209">
        <f>+SUMIF('Diario 20x3'!A:A,A13,'Diario 20x3'!D:D)</f>
        <v>0</v>
      </c>
      <c r="F13" s="209">
        <f t="shared" si="0"/>
        <v>650000000</v>
      </c>
    </row>
    <row r="14" spans="1:6" x14ac:dyDescent="0.2">
      <c r="A14" s="208">
        <f>+'BP 311220x2'!A14</f>
        <v>120521</v>
      </c>
      <c r="B14" s="208" t="str">
        <f>+'BP 311220x2'!B14</f>
        <v>Ecopetrol - ajustes al VR</v>
      </c>
      <c r="C14" s="209">
        <f>+'BP 311220x2'!F14</f>
        <v>348214900</v>
      </c>
      <c r="D14" s="209">
        <f>+SUMIF('Diario 20x3'!A:A,A14,'Diario 20x3'!C:C)</f>
        <v>0</v>
      </c>
      <c r="E14" s="209">
        <f>+SUMIF('Diario 20x3'!A:A,A14,'Diario 20x3'!D:D)</f>
        <v>106785780</v>
      </c>
      <c r="F14" s="209">
        <f t="shared" ref="F14" si="1">+C14+D14-E14</f>
        <v>241429120</v>
      </c>
    </row>
    <row r="15" spans="1:6" x14ac:dyDescent="0.2">
      <c r="A15" s="208">
        <f>+'BP 311220x2'!A15</f>
        <v>120530</v>
      </c>
      <c r="B15" s="208" t="str">
        <f>+'BP 311220x2'!B15</f>
        <v>Construcciones Lvg SAS (40%)</v>
      </c>
      <c r="C15" s="209">
        <f>+'BP 311220x2'!F15</f>
        <v>1806700000</v>
      </c>
      <c r="D15" s="209">
        <f>+SUMIF('Diario 20x3'!A:A,A15,'Diario 20x3'!C:C)</f>
        <v>0</v>
      </c>
      <c r="E15" s="209">
        <f>+SUMIF('Diario 20x3'!A:A,A15,'Diario 20x3'!D:D)</f>
        <v>0</v>
      </c>
      <c r="F15" s="209">
        <f t="shared" si="0"/>
        <v>1806700000</v>
      </c>
    </row>
    <row r="16" spans="1:6" x14ac:dyDescent="0.2">
      <c r="A16" s="208">
        <f>+'BP 311220x2'!A16</f>
        <v>122505</v>
      </c>
      <c r="B16" s="208" t="str">
        <f>+'BP 311220x2'!B16</f>
        <v>Inversiones en CDT</v>
      </c>
      <c r="C16" s="209">
        <f>+'BP 311220x2'!F16</f>
        <v>1200000000</v>
      </c>
      <c r="D16" s="209">
        <f>+SUMIF('Diario 20x3'!A:A,A16,'Diario 20x3'!C:C)</f>
        <v>0</v>
      </c>
      <c r="E16" s="209">
        <f>+SUMIF('Diario 20x3'!A:A,A16,'Diario 20x3'!D:D)</f>
        <v>0</v>
      </c>
      <c r="F16" s="209">
        <f t="shared" si="0"/>
        <v>1200000000</v>
      </c>
    </row>
    <row r="17" spans="1:6" x14ac:dyDescent="0.2">
      <c r="A17" s="208">
        <f>+'BP 311220x2'!A17</f>
        <v>129505</v>
      </c>
      <c r="B17" s="208" t="str">
        <f>+'BP 311220x2'!B17</f>
        <v>Derivados financieros</v>
      </c>
      <c r="C17" s="209">
        <f>+'BP 311220x2'!F17</f>
        <v>147051000</v>
      </c>
      <c r="D17" s="209">
        <f>+SUMIF('Diario 20x3'!A:A,A17,'Diario 20x3'!C:C)</f>
        <v>26526324</v>
      </c>
      <c r="E17" s="209">
        <f>+SUMIF('Diario 20x3'!A:A,A17,'Diario 20x3'!D:D)</f>
        <v>147051000</v>
      </c>
      <c r="F17" s="209">
        <f t="shared" si="0"/>
        <v>26526324</v>
      </c>
    </row>
    <row r="18" spans="1:6" x14ac:dyDescent="0.2">
      <c r="A18" s="208">
        <f>+'BP 311220x2'!A18</f>
        <v>130505</v>
      </c>
      <c r="B18" s="208" t="str">
        <f>+'BP 311220x2'!B18</f>
        <v>Cuentas por cobrar clientes</v>
      </c>
      <c r="C18" s="209">
        <f>+'BP 311220x2'!F18</f>
        <v>1751471156</v>
      </c>
      <c r="D18" s="209">
        <f>+SUMIF('Diario 20x3'!A:A,A18,'Diario 20x3'!C:C)</f>
        <v>2167610200</v>
      </c>
      <c r="E18" s="209">
        <f>+SUMIF('Diario 20x3'!A:A,A18,'Diario 20x3'!D:D)</f>
        <v>2194659326</v>
      </c>
      <c r="F18" s="209">
        <f t="shared" si="0"/>
        <v>1724422030</v>
      </c>
    </row>
    <row r="19" spans="1:6" x14ac:dyDescent="0.2">
      <c r="A19" s="208">
        <f>+'BP 311220x2'!A19</f>
        <v>132005</v>
      </c>
      <c r="B19" s="208" t="str">
        <f>+'BP 311220x2'!B19</f>
        <v>Préstamos a asociadas</v>
      </c>
      <c r="C19" s="209">
        <f>+'BP 311220x2'!F19</f>
        <v>45000000</v>
      </c>
      <c r="D19" s="209">
        <f>+SUMIF('Diario 20x3'!A:A,A19,'Diario 20x3'!C:C)</f>
        <v>0</v>
      </c>
      <c r="E19" s="209">
        <f>+SUMIF('Diario 20x3'!A:A,A19,'Diario 20x3'!D:D)</f>
        <v>0</v>
      </c>
      <c r="F19" s="209">
        <f t="shared" si="0"/>
        <v>45000000</v>
      </c>
    </row>
    <row r="20" spans="1:6" x14ac:dyDescent="0.2">
      <c r="A20" s="208">
        <f>+'BP 311220x2'!A20</f>
        <v>133015</v>
      </c>
      <c r="B20" s="208" t="str">
        <f>+'BP 311220x2'!B20</f>
        <v xml:space="preserve">Avances para gastos de viaje </v>
      </c>
      <c r="C20" s="209">
        <f>+'BP 311220x2'!F20</f>
        <v>3150000</v>
      </c>
      <c r="D20" s="209">
        <f>+SUMIF('Diario 20x3'!A:A,A20,'Diario 20x3'!C:C)</f>
        <v>6543000</v>
      </c>
      <c r="E20" s="209">
        <f>+SUMIF('Diario 20x3'!A:A,A20,'Diario 20x3'!D:D)</f>
        <v>3150000</v>
      </c>
      <c r="F20" s="209">
        <f t="shared" si="0"/>
        <v>6543000</v>
      </c>
    </row>
    <row r="21" spans="1:6" x14ac:dyDescent="0.2">
      <c r="A21" s="208">
        <f>+'BP 311220x2'!A21</f>
        <v>135520</v>
      </c>
      <c r="B21" s="208" t="str">
        <f>+'BP 311220x2'!B21</f>
        <v>Saldo a favor IVA</v>
      </c>
      <c r="C21" s="209">
        <f>+'BP 311220x2'!F21</f>
        <v>0</v>
      </c>
      <c r="D21" s="209">
        <f>+SUMIF('Diario 20x3'!A:A,A21,'Diario 20x3'!C:C)</f>
        <v>0</v>
      </c>
      <c r="E21" s="209">
        <f>+SUMIF('Diario 20x3'!A:A,A21,'Diario 20x3'!D:D)</f>
        <v>0</v>
      </c>
      <c r="F21" s="209">
        <f t="shared" si="0"/>
        <v>0</v>
      </c>
    </row>
    <row r="22" spans="1:6" x14ac:dyDescent="0.2">
      <c r="A22" s="208">
        <f>+'BP 311220x2'!A22</f>
        <v>135515</v>
      </c>
      <c r="B22" s="208" t="str">
        <f>+'BP 311220x2'!B22</f>
        <v>Retenciones y autorretenciones</v>
      </c>
      <c r="C22" s="209">
        <f>+'BP 311220x2'!F22</f>
        <v>0</v>
      </c>
      <c r="D22" s="209">
        <f>+SUMIF('Diario 20x3'!A:A,A22,'Diario 20x3'!C:C)</f>
        <v>744440000</v>
      </c>
      <c r="E22" s="209">
        <f>+SUMIF('Diario 20x3'!A:A,A22,'Diario 20x3'!D:D)</f>
        <v>744440000</v>
      </c>
      <c r="F22" s="209">
        <f>+C22+D22-E22</f>
        <v>0</v>
      </c>
    </row>
    <row r="23" spans="1:6" x14ac:dyDescent="0.2">
      <c r="A23" s="208">
        <f>+'BP 311220x2'!A23</f>
        <v>136510</v>
      </c>
      <c r="B23" s="208" t="str">
        <f>+'BP 311220x2'!B23</f>
        <v>Prestamos gerente</v>
      </c>
      <c r="C23" s="209">
        <f>+'BP 311220x2'!F23</f>
        <v>67500000</v>
      </c>
      <c r="D23" s="209">
        <f>+SUMIF('Diario 20x3'!A:A,A23,'Diario 20x3'!C:C)</f>
        <v>0</v>
      </c>
      <c r="E23" s="209">
        <f>+SUMIF('Diario 20x3'!A:A,A23,'Diario 20x3'!D:D)</f>
        <v>4543000</v>
      </c>
      <c r="F23" s="209">
        <f t="shared" si="0"/>
        <v>62957000</v>
      </c>
    </row>
    <row r="24" spans="1:6" x14ac:dyDescent="0.2">
      <c r="A24" s="208">
        <f>+'BP 311220x2'!A24</f>
        <v>139905</v>
      </c>
      <c r="B24" s="208" t="str">
        <f>+'BP 311220x2'!B24</f>
        <v>Provisión- C x Cobrar fiscal</v>
      </c>
      <c r="C24" s="209">
        <f>+'BP 311220x2'!F24</f>
        <v>-456833344.63999999</v>
      </c>
      <c r="D24" s="209">
        <f>+SUMIF('Diario 20x3'!A:A,A24,'Diario 20x3'!C:C)</f>
        <v>456833344.63999999</v>
      </c>
      <c r="E24" s="209">
        <f>+SUMIF('Diario 20x3'!A:A,A24,'Diario 20x3'!D:D)</f>
        <v>0</v>
      </c>
      <c r="F24" s="209">
        <f t="shared" si="0"/>
        <v>0</v>
      </c>
    </row>
    <row r="25" spans="1:6" x14ac:dyDescent="0.2">
      <c r="A25" s="208">
        <f>+'BP 311220x2'!A25</f>
        <v>139906</v>
      </c>
      <c r="B25" s="208" t="str">
        <f>+'BP 311220x2'!B25</f>
        <v>Deterioro CXC - ajuste a NIIF</v>
      </c>
      <c r="C25" s="209">
        <f>+'BP 311220x2'!F25</f>
        <v>47131632.639999986</v>
      </c>
      <c r="D25" s="209">
        <f>+SUMIF('Diario 20x3'!A:A,A25,'Diario 20x3'!C:C)</f>
        <v>-450459303.63999999</v>
      </c>
      <c r="E25" s="209">
        <f>+SUMIF('Diario 20x3'!A:A,A25,'Diario 20x3'!D:D)</f>
        <v>0</v>
      </c>
      <c r="F25" s="209">
        <f t="shared" si="0"/>
        <v>-403327671</v>
      </c>
    </row>
    <row r="26" spans="1:6" x14ac:dyDescent="0.2">
      <c r="A26" s="208">
        <f>+'BP 311220x2'!A26</f>
        <v>140501</v>
      </c>
      <c r="B26" s="208" t="str">
        <f>+'BP 311220x2'!B26</f>
        <v>Materia prima</v>
      </c>
      <c r="C26" s="209">
        <f>+'BP 311220x2'!F26</f>
        <v>579150000</v>
      </c>
      <c r="D26" s="209">
        <f>+SUMIF('Diario 20x3'!A:A,A26,'Diario 20x3'!C:C)</f>
        <v>637356000</v>
      </c>
      <c r="E26" s="209">
        <f>+SUMIF('Diario 20x3'!A:A,A26,'Diario 20x3'!D:D)</f>
        <v>579150000</v>
      </c>
      <c r="F26" s="209">
        <f t="shared" si="0"/>
        <v>637356000</v>
      </c>
    </row>
    <row r="27" spans="1:6" x14ac:dyDescent="0.2">
      <c r="A27" s="208">
        <f>+'BP 311220x2'!A27</f>
        <v>143005</v>
      </c>
      <c r="B27" s="208" t="str">
        <f>+'BP 311220x2'!B27</f>
        <v>Productos terminados</v>
      </c>
      <c r="C27" s="209">
        <f>+'BP 311220x2'!F27</f>
        <v>572030000</v>
      </c>
      <c r="D27" s="209">
        <f>+SUMIF('Diario 20x3'!A:A,A27,'Diario 20x3'!C:C)</f>
        <v>524369000</v>
      </c>
      <c r="E27" s="209">
        <f>+SUMIF('Diario 20x3'!A:A,A27,'Diario 20x3'!D:D)</f>
        <v>572030000</v>
      </c>
      <c r="F27" s="209">
        <f t="shared" si="0"/>
        <v>524369000</v>
      </c>
    </row>
    <row r="28" spans="1:6" x14ac:dyDescent="0.2">
      <c r="A28" s="208">
        <f>+'BP 311220x2'!A28</f>
        <v>144505</v>
      </c>
      <c r="B28" s="208" t="str">
        <f>+'BP 311220x2'!B28</f>
        <v>Activo biológico- costo</v>
      </c>
      <c r="C28" s="209">
        <f>+'BP 311220x2'!F28</f>
        <v>1431326748</v>
      </c>
      <c r="D28" s="209">
        <f>+SUMIF('Diario 20x3'!A:A,A28,'Diario 20x3'!C:C)</f>
        <v>322000000</v>
      </c>
      <c r="E28" s="209">
        <f>+SUMIF('Diario 20x3'!A:A,A28,'Diario 20x3'!D:D)</f>
        <v>274067000</v>
      </c>
      <c r="F28" s="209">
        <f t="shared" si="0"/>
        <v>1479259748</v>
      </c>
    </row>
    <row r="29" spans="1:6" x14ac:dyDescent="0.2">
      <c r="A29" s="208">
        <f>+'BP 311220x2'!A29</f>
        <v>144597</v>
      </c>
      <c r="B29" s="208" t="str">
        <f>+'BP 311220x2'!B29</f>
        <v>Activo biológico- ajuste al valor razonable</v>
      </c>
      <c r="C29" s="209">
        <f>+'BP 311220x2'!F29</f>
        <v>267673252</v>
      </c>
      <c r="D29" s="209">
        <f>+SUMIF('Diario 20x3'!A:A,A29,'Diario 20x3'!C:C)</f>
        <v>134067000</v>
      </c>
      <c r="E29" s="209">
        <f>+SUMIF('Diario 20x3'!A:A,A29,'Diario 20x3'!D:D)</f>
        <v>0</v>
      </c>
      <c r="F29" s="209">
        <f t="shared" si="0"/>
        <v>401740252</v>
      </c>
    </row>
    <row r="30" spans="1:6" x14ac:dyDescent="0.2">
      <c r="A30" s="208">
        <f>+'BP 311220x2'!A30</f>
        <v>149905</v>
      </c>
      <c r="B30" s="208" t="str">
        <f>+'BP 311220x2'!B30</f>
        <v>Deterioro de inventarios</v>
      </c>
      <c r="C30" s="209">
        <f>+'BP 311220x2'!F30</f>
        <v>-25350000</v>
      </c>
      <c r="D30" s="209">
        <f>+SUMIF('Diario 20x3'!A:A,A30,'Diario 20x3'!C:C)</f>
        <v>25350000</v>
      </c>
      <c r="E30" s="209">
        <f>+SUMIF('Diario 20x3'!A:A,A30,'Diario 20x3'!D:D)</f>
        <v>0</v>
      </c>
      <c r="F30" s="209">
        <f t="shared" si="0"/>
        <v>0</v>
      </c>
    </row>
    <row r="31" spans="1:6" x14ac:dyDescent="0.2">
      <c r="A31" s="208">
        <f>+'BP 311220x2'!A31</f>
        <v>150405</v>
      </c>
      <c r="B31" s="208" t="str">
        <f>+'BP 311220x2'!B31</f>
        <v>Terreno 1- Producción</v>
      </c>
      <c r="C31" s="209">
        <f>+'BP 311220x2'!F31</f>
        <v>650000000</v>
      </c>
      <c r="D31" s="209">
        <f>+SUMIF('Diario 20x3'!A:A,A31,'Diario 20x3'!C:C)</f>
        <v>0</v>
      </c>
      <c r="E31" s="209">
        <f>+SUMIF('Diario 20x3'!A:A,A31,'Diario 20x3'!D:D)</f>
        <v>0</v>
      </c>
      <c r="F31" s="209">
        <f t="shared" si="0"/>
        <v>650000000</v>
      </c>
    </row>
    <row r="32" spans="1:6" x14ac:dyDescent="0.2">
      <c r="A32" s="208">
        <f>+'BP 311220x2'!A32</f>
        <v>150407</v>
      </c>
      <c r="B32" s="208" t="str">
        <f>+'BP 311220x2'!B32</f>
        <v>Terreno, parqueadero</v>
      </c>
      <c r="C32" s="209">
        <f>+'BP 311220x2'!F32</f>
        <v>550000000</v>
      </c>
      <c r="D32" s="209">
        <f>+SUMIF('Diario 20x3'!A:A,A32,'Diario 20x3'!C:C)</f>
        <v>0</v>
      </c>
      <c r="E32" s="209">
        <f>+SUMIF('Diario 20x3'!A:A,A32,'Diario 20x3'!D:D)</f>
        <v>0</v>
      </c>
      <c r="F32" s="209">
        <f t="shared" si="0"/>
        <v>550000000</v>
      </c>
    </row>
    <row r="33" spans="1:6" x14ac:dyDescent="0.2">
      <c r="A33" s="208">
        <f>+'BP 311220x2'!A33</f>
        <v>150497</v>
      </c>
      <c r="B33" s="208" t="str">
        <f>+'BP 311220x2'!B33</f>
        <v>Terrenos ajustes NIIF</v>
      </c>
      <c r="C33" s="209">
        <f>+'BP 311220x2'!F33</f>
        <v>1450000000</v>
      </c>
      <c r="D33" s="209">
        <f>+SUMIF('Diario 20x3'!A:A,A33,'Diario 20x3'!C:C)</f>
        <v>0</v>
      </c>
      <c r="E33" s="209">
        <f>+SUMIF('Diario 20x3'!A:A,A33,'Diario 20x3'!D:D)</f>
        <v>0</v>
      </c>
      <c r="F33" s="209">
        <f>+C33+D33-E33</f>
        <v>1450000000</v>
      </c>
    </row>
    <row r="34" spans="1:6" x14ac:dyDescent="0.2">
      <c r="A34" s="208">
        <f>+'BP 311220x2'!A34</f>
        <v>151605</v>
      </c>
      <c r="B34" s="208" t="str">
        <f>+'BP 311220x2'!B34</f>
        <v xml:space="preserve">Edificación </v>
      </c>
      <c r="C34" s="209">
        <f>+'BP 311220x2'!F34</f>
        <v>2445000000</v>
      </c>
      <c r="D34" s="209">
        <f>+SUMIF('Diario 20x3'!A:A,A34,'Diario 20x3'!C:C)</f>
        <v>0</v>
      </c>
      <c r="E34" s="209">
        <f>+SUMIF('Diario 20x3'!A:A,A34,'Diario 20x3'!D:D)</f>
        <v>0</v>
      </c>
      <c r="F34" s="209">
        <f t="shared" si="0"/>
        <v>2445000000</v>
      </c>
    </row>
    <row r="35" spans="1:6" x14ac:dyDescent="0.2">
      <c r="A35" s="208">
        <f>+'BP 311220x2'!A35</f>
        <v>152005</v>
      </c>
      <c r="B35" s="208" t="str">
        <f>+'BP 311220x2'!B35</f>
        <v xml:space="preserve">Maquina </v>
      </c>
      <c r="C35" s="209">
        <f>+'BP 311220x2'!F35</f>
        <v>825265324</v>
      </c>
      <c r="D35" s="209">
        <f>+SUMIF('Diario 20x3'!A:A,A35,'Diario 20x3'!C:C)</f>
        <v>0</v>
      </c>
      <c r="E35" s="209">
        <f>+SUMIF('Diario 20x3'!A:A,A35,'Diario 20x3'!D:D)</f>
        <v>0</v>
      </c>
      <c r="F35" s="209">
        <f t="shared" si="0"/>
        <v>825265324</v>
      </c>
    </row>
    <row r="36" spans="1:6" x14ac:dyDescent="0.2">
      <c r="A36" s="208">
        <f>+'BP 311220x2'!A36</f>
        <v>152405</v>
      </c>
      <c r="B36" s="208" t="str">
        <f>+'BP 311220x2'!B36</f>
        <v>Muebles y enseres</v>
      </c>
      <c r="C36" s="209">
        <f>+'BP 311220x2'!F36</f>
        <v>435050949</v>
      </c>
      <c r="D36" s="209">
        <f>+SUMIF('Diario 20x3'!A:A,A36,'Diario 20x3'!C:C)</f>
        <v>0</v>
      </c>
      <c r="E36" s="209">
        <f>+SUMIF('Diario 20x3'!A:A,A36,'Diario 20x3'!D:D)</f>
        <v>0</v>
      </c>
      <c r="F36" s="209">
        <f t="shared" si="0"/>
        <v>435050949</v>
      </c>
    </row>
    <row r="37" spans="1:6" x14ac:dyDescent="0.2">
      <c r="A37" s="208">
        <f>+'BP 311220x2'!A37</f>
        <v>154010</v>
      </c>
      <c r="B37" s="208" t="str">
        <f>+'BP 311220x2'!B37</f>
        <v xml:space="preserve">Tractomula </v>
      </c>
      <c r="C37" s="209">
        <f>+'BP 311220x2'!F37</f>
        <v>245000000</v>
      </c>
      <c r="D37" s="209">
        <f>+SUMIF('Diario 20x3'!A:A,A37,'Diario 20x3'!C:C)</f>
        <v>0</v>
      </c>
      <c r="E37" s="209">
        <f>+SUMIF('Diario 20x3'!A:A,A37,'Diario 20x3'!D:D)</f>
        <v>0</v>
      </c>
      <c r="F37" s="209">
        <f t="shared" si="0"/>
        <v>245000000</v>
      </c>
    </row>
    <row r="38" spans="1:6" x14ac:dyDescent="0.2">
      <c r="A38" s="208">
        <f>+'BP 311220x2'!A38</f>
        <v>159205</v>
      </c>
      <c r="B38" s="208" t="str">
        <f>+'BP 311220x2'!B38</f>
        <v>Dep acumulada edificación</v>
      </c>
      <c r="C38" s="209">
        <f>+'BP 311220x2'!F38</f>
        <v>-1589250000</v>
      </c>
      <c r="D38" s="209">
        <f>+SUMIF('Diario 20x3'!A:A,A38,'Diario 20x3'!C:C)</f>
        <v>0</v>
      </c>
      <c r="E38" s="209">
        <f>+SUMIF('Diario 20x3'!A:A,A38,'Diario 20x3'!D:D)</f>
        <v>122250000</v>
      </c>
      <c r="F38" s="209">
        <f t="shared" si="0"/>
        <v>-1711500000</v>
      </c>
    </row>
    <row r="39" spans="1:6" x14ac:dyDescent="0.2">
      <c r="A39" s="208">
        <f>+'BP 311220x2'!A39</f>
        <v>159297</v>
      </c>
      <c r="B39" s="208" t="str">
        <f>+'BP 311220x2'!B39</f>
        <v>Dep acumulada edificación ajuste NIIF</v>
      </c>
      <c r="C39" s="209">
        <f>+'BP 311220x2'!F39</f>
        <v>1442550000</v>
      </c>
      <c r="D39" s="209">
        <f>+SUMIF('Diario 20x3'!A:A,A39,'Diario 20x3'!C:C)</f>
        <v>0</v>
      </c>
      <c r="E39" s="209">
        <f>+SUMIF('Diario 20x3'!A:A,A39,'Diario 20x3'!D:D)</f>
        <v>-73350000</v>
      </c>
      <c r="F39" s="209">
        <f t="shared" si="0"/>
        <v>1515900000</v>
      </c>
    </row>
    <row r="40" spans="1:6" x14ac:dyDescent="0.2">
      <c r="A40" s="208">
        <f>+'BP 311220x2'!A40</f>
        <v>159210</v>
      </c>
      <c r="B40" s="208" t="str">
        <f>+'BP 311220x2'!B40</f>
        <v>Dep acumulada maquinaria</v>
      </c>
      <c r="C40" s="209">
        <f>+'BP 311220x2'!F40</f>
        <v>-495159194</v>
      </c>
      <c r="D40" s="209">
        <f>+SUMIF('Diario 20x3'!A:A,A40,'Diario 20x3'!C:C)</f>
        <v>0</v>
      </c>
      <c r="E40" s="209">
        <f>+SUMIF('Diario 20x3'!A:A,A40,'Diario 20x3'!D:D)</f>
        <v>82526533</v>
      </c>
      <c r="F40" s="209">
        <f t="shared" si="0"/>
        <v>-577685727</v>
      </c>
    </row>
    <row r="41" spans="1:6" x14ac:dyDescent="0.2">
      <c r="A41" s="208">
        <f>+'BP 311220x2'!A41</f>
        <v>159215</v>
      </c>
      <c r="B41" s="208" t="str">
        <f>+'BP 311220x2'!B41</f>
        <v>Dep acumulada enseres</v>
      </c>
      <c r="C41" s="209">
        <f>+'BP 311220x2'!F41</f>
        <v>-304535664</v>
      </c>
      <c r="D41" s="209">
        <f>+SUMIF('Diario 20x3'!A:A,A41,'Diario 20x3'!C:C)</f>
        <v>0</v>
      </c>
      <c r="E41" s="209">
        <f>+SUMIF('Diario 20x3'!A:A,A41,'Diario 20x3'!D:D)</f>
        <v>43505095</v>
      </c>
      <c r="F41" s="209">
        <f t="shared" si="0"/>
        <v>-348040759</v>
      </c>
    </row>
    <row r="42" spans="1:6" x14ac:dyDescent="0.2">
      <c r="A42" s="208">
        <f>+'BP 311220x2'!A42</f>
        <v>159220</v>
      </c>
      <c r="B42" s="208" t="str">
        <f>+'BP 311220x2'!B42</f>
        <v>Dep acumulada tractomula</v>
      </c>
      <c r="C42" s="209">
        <f>+'BP 311220x2'!F42</f>
        <v>-245000000</v>
      </c>
      <c r="D42" s="209">
        <f>+SUMIF('Diario 20x3'!A:A,A42,'Diario 20x3'!C:C)</f>
        <v>0</v>
      </c>
      <c r="E42" s="209">
        <f>+SUMIF('Diario 20x3'!A:A,A42,'Diario 20x3'!D:D)</f>
        <v>0</v>
      </c>
      <c r="F42" s="209">
        <f t="shared" si="0"/>
        <v>-245000000</v>
      </c>
    </row>
    <row r="43" spans="1:6" x14ac:dyDescent="0.2">
      <c r="A43" s="208">
        <f>+'BP 311220x2'!A43</f>
        <v>159298</v>
      </c>
      <c r="B43" s="208" t="str">
        <f>+'BP 311220x2'!B43</f>
        <v>Dep acumulada tractomula ajuste NIIF</v>
      </c>
      <c r="C43" s="209">
        <f>+'BP 311220x2'!F43</f>
        <v>152142857</v>
      </c>
      <c r="D43" s="209">
        <f>+SUMIF('Diario 20x3'!A:A,A43,'Diario 20x3'!C:C)</f>
        <v>0</v>
      </c>
      <c r="E43" s="209">
        <f>+SUMIF('Diario 20x3'!A:A,A43,'Diario 20x3'!D:D)</f>
        <v>6190476</v>
      </c>
      <c r="F43" s="209">
        <f t="shared" si="0"/>
        <v>145952381</v>
      </c>
    </row>
    <row r="44" spans="1:6" x14ac:dyDescent="0.2">
      <c r="A44" s="208">
        <f>+'BP 311220x2'!A44</f>
        <v>161010</v>
      </c>
      <c r="B44" s="208" t="str">
        <f>+'BP 311220x2'!B44</f>
        <v>Programa de contabilidad</v>
      </c>
      <c r="C44" s="209">
        <f>+'BP 311220x2'!F44</f>
        <v>65000000</v>
      </c>
      <c r="D44" s="209">
        <f>+SUMIF('Diario 20x3'!A:A,A44,'Diario 20x3'!C:C)</f>
        <v>0</v>
      </c>
      <c r="E44" s="209">
        <f>+SUMIF('Diario 20x3'!A:A,A44,'Diario 20x3'!D:D)</f>
        <v>0</v>
      </c>
      <c r="F44" s="209">
        <f t="shared" si="0"/>
        <v>65000000</v>
      </c>
    </row>
    <row r="45" spans="1:6" x14ac:dyDescent="0.2">
      <c r="A45" s="208">
        <f>+'BP 311220x2'!A45</f>
        <v>161098</v>
      </c>
      <c r="B45" s="208" t="str">
        <f>+'BP 311220x2'!B45</f>
        <v>Amortización</v>
      </c>
      <c r="C45" s="209">
        <f>+'BP 311220x2'!F45</f>
        <v>-52000000</v>
      </c>
      <c r="D45" s="209">
        <f>+SUMIF('Diario 20x3'!A:A,A45,'Diario 20x3'!C:C)</f>
        <v>0</v>
      </c>
      <c r="E45" s="209">
        <f>+SUMIF('Diario 20x3'!A:A,A45,'Diario 20x3'!D:D)</f>
        <v>13000000</v>
      </c>
      <c r="F45" s="209">
        <f t="shared" si="0"/>
        <v>-65000000</v>
      </c>
    </row>
    <row r="46" spans="1:6" x14ac:dyDescent="0.2">
      <c r="A46" s="208">
        <f>+'BP 311220x2'!A46</f>
        <v>170545</v>
      </c>
      <c r="B46" s="208" t="str">
        <f>+'BP 311220x2'!B46</f>
        <v>Suscripciones a revistas</v>
      </c>
      <c r="C46" s="209">
        <f>+'BP 311220x2'!F46</f>
        <v>7326000</v>
      </c>
      <c r="D46" s="209">
        <f>+SUMIF('Diario 20x3'!A:A,A46,'Diario 20x3'!C:C)</f>
        <v>12123000</v>
      </c>
      <c r="E46" s="209">
        <f>+SUMIF('Diario 20x3'!A:A,A46,'Diario 20x3'!D:D)</f>
        <v>7326000</v>
      </c>
      <c r="F46" s="209">
        <f t="shared" si="0"/>
        <v>12123000</v>
      </c>
    </row>
    <row r="47" spans="1:6" x14ac:dyDescent="0.2">
      <c r="A47" s="208">
        <f>+'BP 311220x2'!A47</f>
        <v>170525</v>
      </c>
      <c r="B47" s="208" t="str">
        <f>+'BP 311220x2'!B47</f>
        <v>Arrendamientos</v>
      </c>
      <c r="C47" s="209">
        <f>+'BP 311220x2'!F47</f>
        <v>8352000</v>
      </c>
      <c r="D47" s="209">
        <f>+SUMIF('Diario 20x3'!A:A,A47,'Diario 20x3'!C:C)</f>
        <v>6543000</v>
      </c>
      <c r="E47" s="209">
        <f>+SUMIF('Diario 20x3'!A:A,A47,'Diario 20x3'!D:D)</f>
        <v>8352000</v>
      </c>
      <c r="F47" s="209">
        <f t="shared" si="0"/>
        <v>6543000</v>
      </c>
    </row>
    <row r="48" spans="1:6" x14ac:dyDescent="0.2">
      <c r="A48" s="208">
        <f>+'BP 311220x2'!A48</f>
        <v>170520</v>
      </c>
      <c r="B48" s="208" t="str">
        <f>+'BP 311220x2'!B48</f>
        <v>Polizas de seguros</v>
      </c>
      <c r="C48" s="209">
        <f>+'BP 311220x2'!F48</f>
        <v>6500000</v>
      </c>
      <c r="D48" s="209">
        <f>+SUMIF('Diario 20x3'!A:A,A48,'Diario 20x3'!C:C)</f>
        <v>7500000</v>
      </c>
      <c r="E48" s="209">
        <f>+SUMIF('Diario 20x3'!A:A,A48,'Diario 20x3'!D:D)</f>
        <v>6500000</v>
      </c>
      <c r="F48" s="209">
        <f t="shared" si="0"/>
        <v>7500000</v>
      </c>
    </row>
    <row r="49" spans="1:6" x14ac:dyDescent="0.2">
      <c r="A49" s="208">
        <f>+'BP 311220x2'!A49</f>
        <v>192010</v>
      </c>
      <c r="B49" s="208" t="str">
        <f>+'BP 311220x2'!B49</f>
        <v>Propiedades de inversión</v>
      </c>
      <c r="C49" s="209">
        <f>+'BP 311220x2'!F49</f>
        <v>700000000</v>
      </c>
      <c r="D49" s="209">
        <f>+SUMIF('Diario 20x3'!A:A,A49,'Diario 20x3'!C:C)</f>
        <v>0</v>
      </c>
      <c r="E49" s="209">
        <f>+SUMIF('Diario 20x3'!A:A,A49,'Diario 20x3'!D:D)</f>
        <v>0</v>
      </c>
      <c r="F49" s="209">
        <f t="shared" si="0"/>
        <v>700000000</v>
      </c>
    </row>
    <row r="50" spans="1:6" x14ac:dyDescent="0.2">
      <c r="A50" s="208">
        <f>+'BP 311220x2'!A50</f>
        <v>192097</v>
      </c>
      <c r="B50" s="208" t="str">
        <f>+'BP 311220x2'!B50</f>
        <v>Propiedades de inversión ajuste NIIF</v>
      </c>
      <c r="C50" s="209">
        <f>+'BP 311220x2'!F50</f>
        <v>1145000000</v>
      </c>
      <c r="D50" s="209">
        <f>+SUMIF('Diario 20x3'!A:A,A50,'Diario 20x3'!C:C)</f>
        <v>47000000</v>
      </c>
      <c r="E50" s="209">
        <f>+SUMIF('Diario 20x3'!A:A,A50,'Diario 20x3'!D:D)</f>
        <v>0</v>
      </c>
      <c r="F50" s="209">
        <f t="shared" si="0"/>
        <v>1192000000</v>
      </c>
    </row>
    <row r="51" spans="1:6" x14ac:dyDescent="0.2">
      <c r="A51" s="208">
        <f>+'BP 311220x2'!A51</f>
        <v>172065</v>
      </c>
      <c r="B51" s="208" t="str">
        <f>+'BP 311220x2'!B51</f>
        <v>Activo x impuestos diferidos</v>
      </c>
      <c r="C51" s="209">
        <f>+'BP 311220x2'!F51</f>
        <v>0</v>
      </c>
      <c r="D51" s="209">
        <f>+SUMIF('Diario 20x3'!A:A,A51,'Diario 20x3'!C:C)</f>
        <v>0</v>
      </c>
      <c r="E51" s="209">
        <f>+SUMIF('Diario 20x3'!A:A,A51,'Diario 20x3'!D:D)</f>
        <v>0</v>
      </c>
      <c r="F51" s="209">
        <f t="shared" si="0"/>
        <v>0</v>
      </c>
    </row>
    <row r="52" spans="1:6" x14ac:dyDescent="0.2">
      <c r="B52" s="210" t="s">
        <v>54</v>
      </c>
      <c r="C52" s="211">
        <f>SUM(C7:C51)</f>
        <v>20371171438</v>
      </c>
      <c r="D52" s="211">
        <f>SUM(D7:D51)</f>
        <v>38869851231</v>
      </c>
      <c r="E52" s="211">
        <f>SUM(E7:E51)</f>
        <v>34459281089</v>
      </c>
      <c r="F52" s="211">
        <f>SUM(F7:F51)</f>
        <v>24781741580</v>
      </c>
    </row>
    <row r="54" spans="1:6" x14ac:dyDescent="0.2">
      <c r="B54" s="203" t="s">
        <v>17</v>
      </c>
      <c r="C54" s="214"/>
      <c r="D54" s="215"/>
      <c r="E54" s="216"/>
      <c r="F54" s="215"/>
    </row>
    <row r="55" spans="1:6" x14ac:dyDescent="0.2">
      <c r="A55" s="208">
        <f>+'BP 311220x2'!A55</f>
        <v>210510</v>
      </c>
      <c r="B55" s="208" t="str">
        <f>+'BP 311220x2'!B55</f>
        <v>Obligaciones financieras</v>
      </c>
      <c r="C55" s="209">
        <f>+'BP 311220x2'!F55</f>
        <v>1999891090.1461334</v>
      </c>
      <c r="D55" s="209">
        <f>+SUMIF('Diario 20x3'!A:A,A55,'Diario 20x3'!C:C)</f>
        <v>605931417</v>
      </c>
      <c r="E55" s="209">
        <f>+SUMIF('Diario 20x3'!A:A,A55,'Diario 20x3'!D:D)</f>
        <v>20591301</v>
      </c>
      <c r="F55" s="209">
        <f>+C55+E55-D55</f>
        <v>1414550974.1461334</v>
      </c>
    </row>
    <row r="56" spans="1:6" x14ac:dyDescent="0.2">
      <c r="A56" s="208">
        <f>+'BP 311220x2'!A56</f>
        <v>220505</v>
      </c>
      <c r="B56" s="208" t="str">
        <f>+'BP 311220x2'!B56</f>
        <v>Proveedores</v>
      </c>
      <c r="C56" s="209">
        <f>+'BP 311220x2'!F56</f>
        <v>612345768</v>
      </c>
      <c r="D56" s="209">
        <f>+SUMIF('Diario 20x3'!A:A,A56,'Diario 20x3'!C:C)</f>
        <v>612345768</v>
      </c>
      <c r="E56" s="209">
        <f>+SUMIF('Diario 20x3'!A:A,A56,'Diario 20x3'!D:D)</f>
        <v>324657000</v>
      </c>
      <c r="F56" s="209">
        <f t="shared" ref="F56:F68" si="2">+C56+E56-D56</f>
        <v>324657000</v>
      </c>
    </row>
    <row r="57" spans="1:6" x14ac:dyDescent="0.2">
      <c r="A57" s="208">
        <f>+'BP 311220x2'!A57</f>
        <v>236595</v>
      </c>
      <c r="B57" s="208" t="str">
        <f>+'BP 311220x2'!B57</f>
        <v>Retención en la fuente</v>
      </c>
      <c r="C57" s="209">
        <f>+'BP 311220x2'!F57</f>
        <v>12543000</v>
      </c>
      <c r="D57" s="209">
        <f>+SUMIF('Diario 20x3'!A:A,A57,'Diario 20x3'!C:C)</f>
        <v>12543000</v>
      </c>
      <c r="E57" s="209">
        <f>+SUMIF('Diario 20x3'!A:A,A57,'Diario 20x3'!D:D)</f>
        <v>11432000</v>
      </c>
      <c r="F57" s="209">
        <f t="shared" si="2"/>
        <v>11432000</v>
      </c>
    </row>
    <row r="58" spans="1:6" x14ac:dyDescent="0.2">
      <c r="A58" s="208">
        <f>+'BP 311220x2'!A58</f>
        <v>237010</v>
      </c>
      <c r="B58" s="208" t="str">
        <f>+'BP 311220x2'!B58</f>
        <v>Parafiscales por pagar</v>
      </c>
      <c r="C58" s="209">
        <f>+'BP 311220x2'!F58</f>
        <v>37876000</v>
      </c>
      <c r="D58" s="209">
        <f>+SUMIF('Diario 20x3'!A:A,A58,'Diario 20x3'!C:C)</f>
        <v>37876000</v>
      </c>
      <c r="E58" s="209">
        <f>+SUMIF('Diario 20x3'!A:A,A58,'Diario 20x3'!D:D)</f>
        <v>36765000</v>
      </c>
      <c r="F58" s="209">
        <f t="shared" si="2"/>
        <v>36765000</v>
      </c>
    </row>
    <row r="59" spans="1:6" x14ac:dyDescent="0.2">
      <c r="A59" s="208">
        <f>+'BP 311220x2'!A59</f>
        <v>237005</v>
      </c>
      <c r="B59" s="208" t="str">
        <f>+'BP 311220x2'!B59</f>
        <v>Aportes salud y ARL</v>
      </c>
      <c r="C59" s="209">
        <f>+'BP 311220x2'!F59</f>
        <v>58765000</v>
      </c>
      <c r="D59" s="209">
        <f>+SUMIF('Diario 20x3'!A:A,A59,'Diario 20x3'!C:C)</f>
        <v>58765000</v>
      </c>
      <c r="E59" s="209">
        <f>+SUMIF('Diario 20x3'!A:A,A59,'Diario 20x3'!D:D)</f>
        <v>56765000</v>
      </c>
      <c r="F59" s="209">
        <f t="shared" si="2"/>
        <v>56765000</v>
      </c>
    </row>
    <row r="60" spans="1:6" x14ac:dyDescent="0.2">
      <c r="A60" s="208">
        <f>+'BP 311220x2'!A60</f>
        <v>237045</v>
      </c>
      <c r="B60" s="208" t="str">
        <f>+'BP 311220x2'!B60</f>
        <v>Aportes pensión</v>
      </c>
      <c r="C60" s="209">
        <f>+'BP 311220x2'!F60</f>
        <v>174654000</v>
      </c>
      <c r="D60" s="209">
        <f>+SUMIF('Diario 20x3'!A:A,A60,'Diario 20x3'!C:C)</f>
        <v>174654000</v>
      </c>
      <c r="E60" s="209">
        <f>+SUMIF('Diario 20x3'!A:A,A60,'Diario 20x3'!D:D)</f>
        <v>170654000</v>
      </c>
      <c r="F60" s="209">
        <f t="shared" si="2"/>
        <v>170654000</v>
      </c>
    </row>
    <row r="61" spans="1:6" x14ac:dyDescent="0.2">
      <c r="A61" s="208">
        <f>+'BP 311220x2'!A61</f>
        <v>240404</v>
      </c>
      <c r="B61" s="208" t="str">
        <f>+'BP 311220x2'!B61</f>
        <v>Impuesto de renta por pagar</v>
      </c>
      <c r="C61" s="209">
        <f>+'BP 311220x2'!F61</f>
        <v>1148433000</v>
      </c>
      <c r="D61" s="209">
        <f>+SUMIF('Diario 20x3'!A:A,A61,'Diario 20x3'!C:C)</f>
        <v>1148433000</v>
      </c>
      <c r="E61" s="209">
        <f>+SUMIF('Diario 20x3'!A:A,A61,'Diario 20x3'!D:D)</f>
        <v>1735037000</v>
      </c>
      <c r="F61" s="209">
        <f t="shared" si="2"/>
        <v>1735037000</v>
      </c>
    </row>
    <row r="62" spans="1:6" x14ac:dyDescent="0.2">
      <c r="A62" s="208">
        <f>+'BP 311220x2'!A62</f>
        <v>240801</v>
      </c>
      <c r="B62" s="208" t="str">
        <f>+'BP 311220x2'!B62</f>
        <v>Impuesto sobre las ventas - IVA</v>
      </c>
      <c r="C62" s="209">
        <f>+'BP 311220x2'!F62</f>
        <v>482250000</v>
      </c>
      <c r="D62" s="209">
        <f>+SUMIF('Diario 20x3'!A:A,A62,'Diario 20x3'!C:C)</f>
        <v>4703236000</v>
      </c>
      <c r="E62" s="209">
        <f>+SUMIF('Diario 20x3'!A:A,A62,'Diario 20x3'!D:D)</f>
        <v>4636160000</v>
      </c>
      <c r="F62" s="209">
        <f t="shared" si="2"/>
        <v>415174000</v>
      </c>
    </row>
    <row r="63" spans="1:6" x14ac:dyDescent="0.2">
      <c r="A63" s="208">
        <f>+'BP 311220x2'!A63</f>
        <v>241205</v>
      </c>
      <c r="B63" s="208" t="str">
        <f>+'BP 311220x2'!B63</f>
        <v>Industria y comercio por pagar</v>
      </c>
      <c r="C63" s="209">
        <f>+'BP 311220x2'!F63</f>
        <v>263254320</v>
      </c>
      <c r="D63" s="209">
        <f>+SUMIF('Diario 20x3'!A:A,A63,'Diario 20x3'!C:C)</f>
        <v>263254320</v>
      </c>
      <c r="E63" s="209">
        <f>+SUMIF('Diario 20x3'!A:A,A63,'Diario 20x3'!D:D)</f>
        <v>289426370.51999998</v>
      </c>
      <c r="F63" s="209">
        <f t="shared" si="2"/>
        <v>289426370.51999998</v>
      </c>
    </row>
    <row r="64" spans="1:6" x14ac:dyDescent="0.2">
      <c r="A64" s="208">
        <f>+'BP 311220x2'!A64</f>
        <v>250505</v>
      </c>
      <c r="B64" s="208" t="str">
        <f>+'BP 311220x2'!B64</f>
        <v>Pasivos laborales</v>
      </c>
      <c r="C64" s="209">
        <f>+'BP 311220x2'!F64</f>
        <v>75453678</v>
      </c>
      <c r="D64" s="209">
        <f>+SUMIF('Diario 20x3'!A:A,A64,'Diario 20x3'!C:C)</f>
        <v>75453678</v>
      </c>
      <c r="E64" s="209">
        <f>+SUMIF('Diario 20x3'!A:A,A64,'Diario 20x3'!D:D)</f>
        <v>90319513</v>
      </c>
      <c r="F64" s="209">
        <f t="shared" si="2"/>
        <v>90319513</v>
      </c>
    </row>
    <row r="65" spans="1:6" x14ac:dyDescent="0.2">
      <c r="A65" s="208">
        <f>+'BP 311220x2'!A65</f>
        <v>263505</v>
      </c>
      <c r="B65" s="208" t="str">
        <f>+'BP 311220x2'!B65</f>
        <v xml:space="preserve">Litigios y demandas </v>
      </c>
      <c r="C65" s="209">
        <f>+'BP 311220x2'!F65</f>
        <v>139385828</v>
      </c>
      <c r="D65" s="209">
        <f>+SUMIF('Diario 20x3'!A:A,A65,'Diario 20x3'!C:C)</f>
        <v>170074000</v>
      </c>
      <c r="E65" s="209">
        <f>+SUMIF('Diario 20x3'!A:A,A65,'Diario 20x3'!D:D)</f>
        <v>227755312</v>
      </c>
      <c r="F65" s="209">
        <f t="shared" si="2"/>
        <v>197067140</v>
      </c>
    </row>
    <row r="66" spans="1:6" x14ac:dyDescent="0.2">
      <c r="A66" s="208">
        <f>+'BP 311220x2'!A66</f>
        <v>264005</v>
      </c>
      <c r="B66" s="208" t="str">
        <f>+'BP 311220x2'!B66</f>
        <v>Garantías</v>
      </c>
      <c r="C66" s="209">
        <f>+'BP 311220x2'!F66</f>
        <v>129560000</v>
      </c>
      <c r="D66" s="209">
        <f>+SUMIF('Diario 20x3'!A:A,A66,'Diario 20x3'!C:C)</f>
        <v>149817000</v>
      </c>
      <c r="E66" s="209">
        <f>+SUMIF('Diario 20x3'!A:A,A66,'Diario 20x3'!D:D)</f>
        <v>186000000</v>
      </c>
      <c r="F66" s="209">
        <f t="shared" si="2"/>
        <v>165743000</v>
      </c>
    </row>
    <row r="67" spans="1:6" x14ac:dyDescent="0.2">
      <c r="A67" s="208">
        <f>+'BP 311220x2'!A67</f>
        <v>210595</v>
      </c>
      <c r="B67" s="208" t="str">
        <f>+'BP 311220x2'!B67</f>
        <v>Derivados financieros</v>
      </c>
      <c r="C67" s="209">
        <f>+'BP 311220x2'!F67</f>
        <v>5052000</v>
      </c>
      <c r="D67" s="209">
        <f>+SUMIF('Diario 20x3'!A:A,A67,'Diario 20x3'!C:C)</f>
        <v>5052000</v>
      </c>
      <c r="E67" s="209">
        <f>+SUMIF('Diario 20x3'!A:A,A67,'Diario 20x3'!D:D)</f>
        <v>37700100</v>
      </c>
      <c r="F67" s="209">
        <f t="shared" si="2"/>
        <v>37700100</v>
      </c>
    </row>
    <row r="68" spans="1:6" x14ac:dyDescent="0.2">
      <c r="A68" s="208">
        <f>+'BP 311220x2'!A68</f>
        <v>271095</v>
      </c>
      <c r="B68" s="208" t="str">
        <f>+'BP 311220x2'!B68</f>
        <v>Pasivos x impuestos diferidos</v>
      </c>
      <c r="C68" s="209">
        <f>+'BP 311220x2'!F68</f>
        <v>848838343.1909194</v>
      </c>
      <c r="D68" s="209">
        <f>+SUMIF('Diario 20x3'!A:A,A68,'Diario 20x3'!C:C)</f>
        <v>848838343.1909194</v>
      </c>
      <c r="E68" s="209">
        <f>+SUMIF('Diario 20x3'!A:A,A68,'Diario 20x3'!D:D)</f>
        <v>0</v>
      </c>
      <c r="F68" s="209">
        <f t="shared" si="2"/>
        <v>0</v>
      </c>
    </row>
    <row r="69" spans="1:6" x14ac:dyDescent="0.2">
      <c r="B69" s="203" t="s">
        <v>55</v>
      </c>
      <c r="C69" s="211">
        <f>SUM(C55:C68)</f>
        <v>5988302027.3370533</v>
      </c>
      <c r="D69" s="211">
        <f>SUM(D55:D68)</f>
        <v>8866273526.1909199</v>
      </c>
      <c r="E69" s="211">
        <f>SUM(E55:E68)</f>
        <v>7823262596.5200005</v>
      </c>
      <c r="F69" s="211">
        <f>SUM(F55:F68)</f>
        <v>4945291097.6661339</v>
      </c>
    </row>
    <row r="70" spans="1:6" x14ac:dyDescent="0.2">
      <c r="C70" s="118"/>
      <c r="D70" s="118"/>
      <c r="E70" s="118"/>
      <c r="F70" s="118"/>
    </row>
    <row r="71" spans="1:6" x14ac:dyDescent="0.2">
      <c r="B71" s="203" t="s">
        <v>19</v>
      </c>
      <c r="C71" s="211">
        <f>SUM(C72:C78)</f>
        <v>14382869410.666307</v>
      </c>
      <c r="D71" s="211">
        <f>SUM(D72:D78)</f>
        <v>3788945993.4063072</v>
      </c>
      <c r="E71" s="211">
        <f>SUM(E72:E78)</f>
        <v>9242527065.0772247</v>
      </c>
      <c r="F71" s="211">
        <f>SUM(F72:F78)</f>
        <v>19836450482.337227</v>
      </c>
    </row>
    <row r="72" spans="1:6" x14ac:dyDescent="0.2">
      <c r="A72" s="208">
        <f>+'BP 311220x2'!A72</f>
        <v>310505</v>
      </c>
      <c r="B72" s="208" t="str">
        <f>+'BP 311220x2'!B72</f>
        <v>Capital suscrito y pagado</v>
      </c>
      <c r="C72" s="209">
        <f>+'BP 311220x2'!F72</f>
        <v>8500000000</v>
      </c>
      <c r="D72" s="209">
        <f>+SUMIF('Diario 20x3'!A:A,A72,'Diario 20x3'!C:C)</f>
        <v>0</v>
      </c>
      <c r="E72" s="209">
        <f>+SUMIF('Diario 20x3'!A:A,A72,'Diario 20x3'!D:D)</f>
        <v>0</v>
      </c>
      <c r="F72" s="209">
        <f t="shared" ref="F72:F77" si="3">+C72+E72-D72</f>
        <v>8500000000</v>
      </c>
    </row>
    <row r="73" spans="1:6" x14ac:dyDescent="0.2">
      <c r="A73" s="208">
        <f>+'BP 311220x2'!A73</f>
        <v>330505</v>
      </c>
      <c r="B73" s="208" t="str">
        <f>+'BP 311220x2'!B73</f>
        <v>Reservas</v>
      </c>
      <c r="C73" s="209">
        <f>+'BP 311220x2'!F73</f>
        <v>770965539</v>
      </c>
      <c r="D73" s="209">
        <f>+SUMIF('Diario 20x3'!A:A,A73,'Diario 20x3'!C:C)</f>
        <v>0</v>
      </c>
      <c r="E73" s="209">
        <f>+SUMIF('Diario 20x3'!A:A,A73,'Diario 20x3'!D:D)</f>
        <v>378894599.34063077</v>
      </c>
      <c r="F73" s="209">
        <f t="shared" si="3"/>
        <v>1149860138.3406308</v>
      </c>
    </row>
    <row r="74" spans="1:6" x14ac:dyDescent="0.2">
      <c r="A74" s="208">
        <f>+'BP 311220x2'!A74</f>
        <v>360505</v>
      </c>
      <c r="B74" s="208" t="str">
        <f>+'BP 311220x2'!B74</f>
        <v>Utilidad  del ejercicio</v>
      </c>
      <c r="C74" s="209">
        <f>+'BP 311220x2'!F74</f>
        <v>3788945993.4063072</v>
      </c>
      <c r="D74" s="209">
        <f>+SUMIF('Diario 20x3'!A:A,A74,'Diario 20x3'!C:C)</f>
        <v>3788945993.4063072</v>
      </c>
      <c r="E74" s="249">
        <f>+F138</f>
        <v>5453581071.6709175</v>
      </c>
      <c r="F74" s="209">
        <f>+C74+E74-D74</f>
        <v>5453581071.6709175</v>
      </c>
    </row>
    <row r="75" spans="1:6" x14ac:dyDescent="0.2">
      <c r="A75" s="208">
        <f>+'BP 311220x2'!A75</f>
        <v>370505</v>
      </c>
      <c r="B75" s="208" t="str">
        <f>+'BP 311220x2'!B75</f>
        <v>Resultados de ejercicios anteriores</v>
      </c>
      <c r="C75" s="209">
        <f>+'BP 311220x2'!F75</f>
        <v>1170957878.26</v>
      </c>
      <c r="D75" s="209">
        <f>+SUMIF('Diario 20x3'!A:A,A75,'Diario 20x3'!C:C)</f>
        <v>0</v>
      </c>
      <c r="E75" s="209">
        <f>+SUMIF('Diario 20x3'!A:A,A75,'Diario 20x3'!D:D)</f>
        <v>3410051394.0656767</v>
      </c>
      <c r="F75" s="209">
        <f t="shared" si="3"/>
        <v>4581009272.3256769</v>
      </c>
    </row>
    <row r="76" spans="1:6" x14ac:dyDescent="0.2">
      <c r="A76" s="208">
        <f>+'BP 311220x2'!A76</f>
        <v>370506</v>
      </c>
      <c r="B76" s="208" t="str">
        <f>+'BP 311220x2'!B76</f>
        <v>Revalorización patrimonio</v>
      </c>
      <c r="C76" s="209">
        <f>+'BP 311220x2'!F76</f>
        <v>152000000</v>
      </c>
      <c r="D76" s="209">
        <f>+SUMIF('Diario 20x3'!A:A,A76,'Diario 20x3'!C:C)</f>
        <v>0</v>
      </c>
      <c r="E76" s="209">
        <f>+SUMIF('Diario 20x3'!A:A,A76,'Diario 20x3'!D:D)</f>
        <v>0</v>
      </c>
      <c r="F76" s="209">
        <f t="shared" si="3"/>
        <v>152000000</v>
      </c>
    </row>
    <row r="77" spans="1:6" x14ac:dyDescent="0.2">
      <c r="A77" s="208">
        <f>+'BP 311220x2'!A77</f>
        <v>381005</v>
      </c>
      <c r="B77" s="208" t="str">
        <f>+'BP 311220x2'!B77</f>
        <v>ORI - participación en ORI de asociadas</v>
      </c>
      <c r="C77" s="209">
        <f>+'BP 311220x2'!F77</f>
        <v>0</v>
      </c>
      <c r="D77" s="209">
        <f>+SUMIF('Diario 20x3'!A:A,A77,'Diario 20x3'!C:C)</f>
        <v>0</v>
      </c>
      <c r="E77" s="209">
        <f>+SUMIF('Diario 20x3'!A:A,A77,'Diario 20x3'!D:D)</f>
        <v>0</v>
      </c>
      <c r="F77" s="209">
        <f t="shared" si="3"/>
        <v>0</v>
      </c>
    </row>
    <row r="78" spans="1:6" x14ac:dyDescent="0.2">
      <c r="D78" s="213"/>
    </row>
    <row r="79" spans="1:6" x14ac:dyDescent="0.2">
      <c r="B79" s="203" t="s">
        <v>56</v>
      </c>
      <c r="C79" s="211">
        <f>+C69+C71</f>
        <v>20371171438.003361</v>
      </c>
      <c r="D79" s="211">
        <f>+D69+D71</f>
        <v>12655219519.597227</v>
      </c>
      <c r="E79" s="211">
        <f>+E69+E71</f>
        <v>17065789661.597225</v>
      </c>
      <c r="F79" s="211">
        <f>+F69+F71</f>
        <v>24781741580.003361</v>
      </c>
    </row>
    <row r="81" spans="1:6" x14ac:dyDescent="0.2">
      <c r="C81" s="218">
        <f>+C79-C52</f>
        <v>3.360748291015625E-3</v>
      </c>
      <c r="D81" s="218">
        <f>+D79+D52</f>
        <v>51525070750.597229</v>
      </c>
      <c r="E81" s="218">
        <f>+E79+E52</f>
        <v>51525070750.597229</v>
      </c>
      <c r="F81" s="218">
        <f>+F79-F52</f>
        <v>3.360748291015625E-3</v>
      </c>
    </row>
    <row r="83" spans="1:6" x14ac:dyDescent="0.2">
      <c r="C83" s="205" t="str">
        <f>+C5</f>
        <v>Saldo inicial</v>
      </c>
      <c r="D83" s="215" t="s">
        <v>168</v>
      </c>
      <c r="E83" s="215" t="s">
        <v>169</v>
      </c>
      <c r="F83" s="215" t="s">
        <v>177</v>
      </c>
    </row>
    <row r="84" spans="1:6" x14ac:dyDescent="0.2">
      <c r="B84" s="219" t="s">
        <v>178</v>
      </c>
      <c r="C84" s="220"/>
      <c r="D84" s="220"/>
      <c r="E84" s="220"/>
      <c r="F84" s="220"/>
    </row>
    <row r="85" spans="1:6" x14ac:dyDescent="0.2">
      <c r="B85" s="203" t="s">
        <v>179</v>
      </c>
      <c r="C85" s="212">
        <f t="shared" ref="C85:F85" si="4">SUM(C86:C101)</f>
        <v>0</v>
      </c>
      <c r="D85" s="212">
        <f t="shared" si="4"/>
        <v>505407190</v>
      </c>
      <c r="E85" s="212">
        <f t="shared" si="4"/>
        <v>30649309905</v>
      </c>
      <c r="F85" s="212">
        <f t="shared" si="4"/>
        <v>30143902715</v>
      </c>
    </row>
    <row r="86" spans="1:6" x14ac:dyDescent="0.2">
      <c r="A86" s="208">
        <f>+'BP 311220x2'!A86</f>
        <v>412005</v>
      </c>
      <c r="B86" s="208" t="str">
        <f>+'BP 311220x2'!B86</f>
        <v>Venta de gaseosas</v>
      </c>
      <c r="C86" s="209"/>
      <c r="D86" s="209">
        <f>+SUMIF('Diario 20x3'!A:A,A86,'Diario 20x3'!C:C)</f>
        <v>0</v>
      </c>
      <c r="E86" s="209">
        <f>+SUMIF('Diario 20x3'!A:A,A86,'Diario 20x3'!D:D)</f>
        <v>28976000000</v>
      </c>
      <c r="F86" s="209">
        <f>+C86+E86-D86</f>
        <v>28976000000</v>
      </c>
    </row>
    <row r="87" spans="1:6" x14ac:dyDescent="0.2">
      <c r="A87" s="208">
        <f>+'BP 311220x2'!A87</f>
        <v>410505</v>
      </c>
      <c r="B87" s="208" t="str">
        <f>+'BP 311220x2'!B87</f>
        <v>Venta de ganado y productos agropecuarios</v>
      </c>
      <c r="C87" s="209"/>
      <c r="D87" s="209">
        <f>+SUMIF('Diario 20x3'!A:A,A87,'Diario 20x3'!C:C)</f>
        <v>0</v>
      </c>
      <c r="E87" s="209">
        <f>+SUMIF('Diario 20x3'!A:A,A87,'Diario 20x3'!D:D)</f>
        <v>516000000</v>
      </c>
      <c r="F87" s="209">
        <f t="shared" ref="F87:F101" si="5">+C87+E87-D87</f>
        <v>516000000</v>
      </c>
    </row>
    <row r="88" spans="1:6" x14ac:dyDescent="0.2">
      <c r="A88" s="208">
        <f>+'BP 311220x2'!A88</f>
        <v>410595</v>
      </c>
      <c r="B88" s="208" t="str">
        <f>+'BP 311220x2'!B88</f>
        <v>Variación del valor razonable de activos biológicos</v>
      </c>
      <c r="C88" s="209"/>
      <c r="D88" s="209">
        <f>+SUMIF('Diario 20x3'!A:A,A88,'Diario 20x3'!C:C)</f>
        <v>46000000</v>
      </c>
      <c r="E88" s="209">
        <f>+SUMIF('Diario 20x3'!A:A,A88,'Diario 20x3'!D:D)</f>
        <v>180067000</v>
      </c>
      <c r="F88" s="209">
        <f t="shared" si="5"/>
        <v>134067000</v>
      </c>
    </row>
    <row r="89" spans="1:6" x14ac:dyDescent="0.2">
      <c r="A89" s="208">
        <f>+'BP 311220x2'!A89</f>
        <v>413505</v>
      </c>
      <c r="B89" s="208" t="str">
        <f>+'BP 311220x2'!B89</f>
        <v>Servicios de construcción</v>
      </c>
      <c r="C89" s="209"/>
      <c r="D89" s="209">
        <f>+SUMIF('Diario 20x3'!A:A,A89,'Diario 20x3'!C:C)</f>
        <v>0</v>
      </c>
      <c r="E89" s="209">
        <f>+SUMIF('Diario 20x3'!A:A,A89,'Diario 20x3'!D:D)</f>
        <v>615000000</v>
      </c>
      <c r="F89" s="209">
        <f t="shared" si="5"/>
        <v>615000000</v>
      </c>
    </row>
    <row r="90" spans="1:6" x14ac:dyDescent="0.2">
      <c r="A90" s="208">
        <f>+'BP 311220x2'!A90</f>
        <v>417505</v>
      </c>
      <c r="B90" s="208" t="str">
        <f>+'BP 311220x2'!B90</f>
        <v>Devoluciones en ventas</v>
      </c>
      <c r="C90" s="209"/>
      <c r="D90" s="209">
        <f>+SUMIF('Diario 20x3'!A:A,A90,'Diario 20x3'!C:C)</f>
        <v>145678000</v>
      </c>
      <c r="E90" s="209">
        <f>+SUMIF('Diario 20x3'!A:A,A90,'Diario 20x3'!D:D)</f>
        <v>0</v>
      </c>
      <c r="F90" s="209">
        <f t="shared" si="5"/>
        <v>-145678000</v>
      </c>
    </row>
    <row r="91" spans="1:6" x14ac:dyDescent="0.2">
      <c r="A91" s="208">
        <f>+'BP 311220x2'!A91</f>
        <v>421005</v>
      </c>
      <c r="B91" s="208" t="str">
        <f>+'BP 311220x2'!B91</f>
        <v>Ingresos financieros</v>
      </c>
      <c r="C91" s="209"/>
      <c r="D91" s="209">
        <f>+SUMIF('Diario 20x3'!A:A,A91,'Diario 20x3'!C:C)</f>
        <v>0</v>
      </c>
      <c r="E91" s="209">
        <f>+SUMIF('Diario 20x3'!A:A,A91,'Diario 20x3'!D:D)</f>
        <v>55985000</v>
      </c>
      <c r="F91" s="209">
        <f t="shared" si="5"/>
        <v>55985000</v>
      </c>
    </row>
    <row r="92" spans="1:6" x14ac:dyDescent="0.2">
      <c r="A92" s="208">
        <f>+'BP 311220x2'!A92</f>
        <v>421095</v>
      </c>
      <c r="B92" s="208" t="str">
        <f>+'BP 311220x2'!B92</f>
        <v>Ingresos forward y swap por liquidación</v>
      </c>
      <c r="C92" s="209"/>
      <c r="D92" s="209">
        <f>+SUMIF('Diario 20x3'!A:A,A92,'Diario 20x3'!C:C)</f>
        <v>0</v>
      </c>
      <c r="E92" s="209">
        <f>+SUMIF('Diario 20x3'!A:A,A92,'Diario 20x3'!D:D)</f>
        <v>125326540</v>
      </c>
      <c r="F92" s="209">
        <f>+C92+E92-D92</f>
        <v>125326540</v>
      </c>
    </row>
    <row r="93" spans="1:6" x14ac:dyDescent="0.2">
      <c r="A93" s="208">
        <f>+'BP 311220x2'!A93</f>
        <v>431505</v>
      </c>
      <c r="B93" s="208" t="str">
        <f>+'BP 311220x2'!B93</f>
        <v>Resultado por variación del valor razonable de derivados financieros</v>
      </c>
      <c r="C93" s="209"/>
      <c r="D93" s="209">
        <f>+SUMIF('Diario 20x3'!A:A,A93,'Diario 20x3'!C:C)</f>
        <v>184751100</v>
      </c>
      <c r="E93" s="209">
        <f>+SUMIF('Diario 20x3'!A:A,A93,'Diario 20x3'!D:D)</f>
        <v>31578324</v>
      </c>
      <c r="F93" s="209">
        <f>+C93+E93-D93</f>
        <v>-153172776</v>
      </c>
    </row>
    <row r="94" spans="1:6" x14ac:dyDescent="0.2">
      <c r="A94" s="208">
        <f>+'BP 311220x2'!A94</f>
        <v>425005</v>
      </c>
      <c r="B94" s="208" t="str">
        <f>+'BP 311220x2'!B94</f>
        <v>Recuperación de deterioro fiscal</v>
      </c>
      <c r="C94" s="209"/>
      <c r="D94" s="209">
        <f>+SUMIF('Diario 20x3'!A:A,A94,'Diario 20x3'!C:C)</f>
        <v>0</v>
      </c>
      <c r="E94" s="209">
        <f>+SUMIF('Diario 20x3'!A:A,A94,'Diario 20x3'!D:D)</f>
        <v>456833344.63999999</v>
      </c>
      <c r="F94" s="209">
        <f t="shared" si="5"/>
        <v>456833344.63999999</v>
      </c>
    </row>
    <row r="95" spans="1:6" x14ac:dyDescent="0.2">
      <c r="A95" s="208">
        <f>+'BP 311220x2'!A95</f>
        <v>425006</v>
      </c>
      <c r="B95" s="208" t="str">
        <f>+'BP 311220x2'!B95</f>
        <v>Recuperación de deterioro ajuste NIIF</v>
      </c>
      <c r="C95" s="209"/>
      <c r="D95" s="209">
        <f>+SUMIF('Diario 20x3'!A:A,A95,'Diario 20x3'!C:C)</f>
        <v>0</v>
      </c>
      <c r="E95" s="209">
        <f>+SUMIF('Diario 20x3'!A:A,A95,'Diario 20x3'!D:D)</f>
        <v>-450459303.63999999</v>
      </c>
      <c r="F95" s="209">
        <f t="shared" si="5"/>
        <v>-450459303.63999999</v>
      </c>
    </row>
    <row r="96" spans="1:6" x14ac:dyDescent="0.2">
      <c r="A96" s="208">
        <f>+'BP 311220x2'!A96</f>
        <v>421020</v>
      </c>
      <c r="B96" s="208" t="str">
        <f>+'BP 311220x2'!B96</f>
        <v>Diferencia en cambio</v>
      </c>
      <c r="C96" s="209"/>
      <c r="D96" s="209">
        <f>+SUMIF('Diario 20x3'!A:A,A96,'Diario 20x3'!C:C)</f>
        <v>0</v>
      </c>
      <c r="E96" s="209">
        <f>+SUMIF('Diario 20x3'!A:A,A96,'Diario 20x3'!D:D)</f>
        <v>11634000</v>
      </c>
      <c r="F96" s="209">
        <f t="shared" si="5"/>
        <v>11634000</v>
      </c>
    </row>
    <row r="97" spans="1:6" x14ac:dyDescent="0.2">
      <c r="A97" s="208">
        <f>+'BP 311220x2'!A97</f>
        <v>430505</v>
      </c>
      <c r="B97" s="208" t="str">
        <f>+'BP 311220x2'!B97</f>
        <v>Resultado por variación del valor razonable de activos financieros</v>
      </c>
      <c r="C97" s="209"/>
      <c r="D97" s="209">
        <f>+SUMIF('Diario 20x3'!A:A,A97,'Diario 20x3'!C:C)</f>
        <v>128978090</v>
      </c>
      <c r="E97" s="209">
        <f>+SUMIF('Diario 20x3'!A:A,A97,'Diario 20x3'!D:D)</f>
        <v>0</v>
      </c>
      <c r="F97" s="209">
        <f t="shared" si="5"/>
        <v>-128978090</v>
      </c>
    </row>
    <row r="98" spans="1:6" x14ac:dyDescent="0.2">
      <c r="A98" s="208">
        <f>+'BP 311220x2'!A98</f>
        <v>431005</v>
      </c>
      <c r="B98" s="208" t="str">
        <f>+'BP 311220x2'!B98</f>
        <v>Resultado por variación del valor razonable de propiedades de inversión</v>
      </c>
      <c r="C98" s="209"/>
      <c r="D98" s="209">
        <f>+SUMIF('Diario 20x3'!A:A,A98,'Diario 20x3'!C:C)</f>
        <v>0</v>
      </c>
      <c r="E98" s="209">
        <f>+SUMIF('Diario 20x3'!A:A,A98,'Diario 20x3'!D:D)</f>
        <v>47000000</v>
      </c>
      <c r="F98" s="209">
        <f t="shared" si="5"/>
        <v>47000000</v>
      </c>
    </row>
    <row r="99" spans="1:6" x14ac:dyDescent="0.2">
      <c r="A99" s="208">
        <f>+'BP 311220x2'!A99</f>
        <v>424505</v>
      </c>
      <c r="B99" s="208" t="str">
        <f>+'BP 311220x2'!B99</f>
        <v>Resultado en venta de propiedades</v>
      </c>
      <c r="C99" s="209"/>
      <c r="D99" s="209">
        <f>+SUMIF('Diario 20x3'!A:A,A99,'Diario 20x3'!C:C)</f>
        <v>0</v>
      </c>
      <c r="E99" s="209">
        <f>+SUMIF('Diario 20x3'!A:A,A99,'Diario 20x3'!D:D)</f>
        <v>0</v>
      </c>
      <c r="F99" s="209">
        <f t="shared" si="5"/>
        <v>0</v>
      </c>
    </row>
    <row r="100" spans="1:6" x14ac:dyDescent="0.2">
      <c r="A100" s="208">
        <f>+'BP 311220x2'!A100</f>
        <v>421505</v>
      </c>
      <c r="B100" s="208" t="str">
        <f>+'BP 311220x2'!B100</f>
        <v>Dividendos</v>
      </c>
      <c r="C100" s="209"/>
      <c r="D100" s="209">
        <f>+SUMIF('Diario 20x3'!A:A,A100,'Diario 20x3'!C:C)</f>
        <v>0</v>
      </c>
      <c r="E100" s="209">
        <f>+SUMIF('Diario 20x3'!A:A,A100,'Diario 20x3'!D:D)</f>
        <v>22000000</v>
      </c>
      <c r="F100" s="209">
        <f t="shared" si="5"/>
        <v>22000000</v>
      </c>
    </row>
    <row r="101" spans="1:6" x14ac:dyDescent="0.2">
      <c r="A101" s="208">
        <f>+'BP 311220x2'!A101</f>
        <v>422005</v>
      </c>
      <c r="B101" s="208" t="str">
        <f>+'BP 311220x2'!B101</f>
        <v>Arrendamientos</v>
      </c>
      <c r="C101" s="209"/>
      <c r="D101" s="209">
        <f>+SUMIF('Diario 20x3'!A:A,A101,'Diario 20x3'!C:C)</f>
        <v>0</v>
      </c>
      <c r="E101" s="209">
        <f>+SUMIF('Diario 20x3'!A:A,A101,'Diario 20x3'!D:D)</f>
        <v>62345000</v>
      </c>
      <c r="F101" s="209">
        <f t="shared" si="5"/>
        <v>62345000</v>
      </c>
    </row>
    <row r="102" spans="1:6" x14ac:dyDescent="0.2">
      <c r="B102" s="33"/>
      <c r="C102" s="220"/>
      <c r="D102" s="220"/>
      <c r="E102" s="220"/>
      <c r="F102" s="220"/>
    </row>
    <row r="103" spans="1:6" x14ac:dyDescent="0.2">
      <c r="B103" s="203" t="s">
        <v>185</v>
      </c>
      <c r="C103" s="212">
        <f>SUM(C104:C137)</f>
        <v>0</v>
      </c>
      <c r="D103" s="212">
        <f>SUM(D104:D137)</f>
        <v>25415239643.329082</v>
      </c>
      <c r="E103" s="212">
        <f>SUM(E104:E137)</f>
        <v>724918000</v>
      </c>
      <c r="F103" s="212">
        <f>SUM(F104:F137)</f>
        <v>24690321643.329082</v>
      </c>
    </row>
    <row r="104" spans="1:6" x14ac:dyDescent="0.2">
      <c r="A104" s="208">
        <f>+'BP 311220x2'!A104</f>
        <v>612005</v>
      </c>
      <c r="B104" s="208" t="str">
        <f>+'BP 311220x2'!B104</f>
        <v>Costo de venta de bienes</v>
      </c>
      <c r="C104" s="209"/>
      <c r="D104" s="209">
        <f>+SUMIF('Diario 20x3'!A:A,A104,'Diario 20x3'!C:C)</f>
        <v>20428832322</v>
      </c>
      <c r="E104" s="209">
        <f>+SUMIF('Diario 20x3'!A:A,A104,'Diario 20x3'!D:D)</f>
        <v>524369000</v>
      </c>
      <c r="F104" s="209">
        <f>+C104+D104-E104</f>
        <v>19904463322</v>
      </c>
    </row>
    <row r="105" spans="1:6" x14ac:dyDescent="0.2">
      <c r="A105" s="208">
        <f>+'BP 311220x2'!A105</f>
        <v>610505</v>
      </c>
      <c r="B105" s="208" t="str">
        <f>+'BP 311220x2'!B105</f>
        <v>Costo productos agropecuarios</v>
      </c>
      <c r="C105" s="209"/>
      <c r="D105" s="209">
        <f>+SUMIF('Diario 20x3'!A:A,A105,'Diario 20x3'!C:C)</f>
        <v>274067000</v>
      </c>
      <c r="E105" s="209">
        <f>+SUMIF('Diario 20x3'!A:A,A105,'Diario 20x3'!D:D)</f>
        <v>0</v>
      </c>
      <c r="F105" s="209">
        <f t="shared" ref="F105:F132" si="6">+C105+D105-E105</f>
        <v>274067000</v>
      </c>
    </row>
    <row r="106" spans="1:6" x14ac:dyDescent="0.2">
      <c r="A106" s="208">
        <f>+'BP 311220x2'!A106</f>
        <v>612010</v>
      </c>
      <c r="B106" s="208" t="str">
        <f>+'BP 311220x2'!B106</f>
        <v>Costos por garantías</v>
      </c>
      <c r="C106" s="209"/>
      <c r="D106" s="209">
        <f>+SUMIF('Diario 20x3'!A:A,A106,'Diario 20x3'!C:C)</f>
        <v>186000000</v>
      </c>
      <c r="E106" s="209">
        <f>+SUMIF('Diario 20x3'!A:A,A106,'Diario 20x3'!D:D)</f>
        <v>0</v>
      </c>
      <c r="F106" s="209">
        <f t="shared" si="6"/>
        <v>186000000</v>
      </c>
    </row>
    <row r="107" spans="1:6" x14ac:dyDescent="0.2">
      <c r="A107" s="208">
        <f>+'BP 311220x2'!A107</f>
        <v>619810</v>
      </c>
      <c r="B107" s="208" t="str">
        <f>+'BP 311220x2'!B107</f>
        <v>Descuentos comerciales condicionados</v>
      </c>
      <c r="C107" s="209"/>
      <c r="D107" s="209">
        <f>+SUMIF('Diario 20x3'!A:A,A107,'Diario 20x3'!C:C)</f>
        <v>0</v>
      </c>
      <c r="E107" s="209">
        <f>+SUMIF('Diario 20x3'!A:A,A107,'Diario 20x3'!D:D)</f>
        <v>40125000</v>
      </c>
      <c r="F107" s="209">
        <f t="shared" si="6"/>
        <v>-40125000</v>
      </c>
    </row>
    <row r="108" spans="1:6" x14ac:dyDescent="0.2">
      <c r="A108" s="208">
        <f>+'BP 311220x2'!A108</f>
        <v>619905</v>
      </c>
      <c r="B108" s="208" t="str">
        <f>+'BP 311220x2'!B108</f>
        <v>Deterioro de inventarios</v>
      </c>
      <c r="C108" s="209"/>
      <c r="D108" s="209">
        <f>+SUMIF('Diario 20x3'!A:A,A108,'Diario 20x3'!C:C)</f>
        <v>0</v>
      </c>
      <c r="E108" s="209">
        <f>+SUMIF('Diario 20x3'!A:A,A108,'Diario 20x3'!D:D)</f>
        <v>25350000</v>
      </c>
      <c r="F108" s="209">
        <f t="shared" si="6"/>
        <v>-25350000</v>
      </c>
    </row>
    <row r="109" spans="1:6" x14ac:dyDescent="0.2">
      <c r="A109" s="208">
        <f>+'BP 311220x2'!A109</f>
        <v>511505</v>
      </c>
      <c r="B109" s="208" t="str">
        <f>+'BP 311220x2'!B109</f>
        <v>Impuesto industria y comercio</v>
      </c>
      <c r="C109" s="209"/>
      <c r="D109" s="209">
        <f>+SUMIF('Diario 20x3'!A:A,A109,'Diario 20x3'!C:C)</f>
        <v>289426370.51999998</v>
      </c>
      <c r="E109" s="209">
        <f>+SUMIF('Diario 20x3'!A:A,A109,'Diario 20x3'!D:D)</f>
        <v>0</v>
      </c>
      <c r="F109" s="209">
        <f t="shared" si="6"/>
        <v>289426370.51999998</v>
      </c>
    </row>
    <row r="110" spans="1:6" x14ac:dyDescent="0.2">
      <c r="A110" s="208">
        <f>+'BP 311220x2'!A110</f>
        <v>510505</v>
      </c>
      <c r="B110" s="208" t="str">
        <f>+'BP 311220x2'!B110</f>
        <v>Gastos de personal</v>
      </c>
      <c r="C110" s="209"/>
      <c r="D110" s="209">
        <f>+SUMIF('Diario 20x3'!A:A,A110,'Diario 20x3'!C:C)</f>
        <v>325359513</v>
      </c>
      <c r="E110" s="209">
        <f>+SUMIF('Diario 20x3'!A:A,A110,'Diario 20x3'!D:D)</f>
        <v>0</v>
      </c>
      <c r="F110" s="209">
        <f t="shared" si="6"/>
        <v>325359513</v>
      </c>
    </row>
    <row r="111" spans="1:6" x14ac:dyDescent="0.2">
      <c r="A111" s="208">
        <f>+'BP 311220x2'!A111</f>
        <v>511595</v>
      </c>
      <c r="B111" s="208" t="str">
        <f>+'BP 311220x2'!B111</f>
        <v>GMF</v>
      </c>
      <c r="C111" s="209"/>
      <c r="D111" s="209">
        <f>+SUMIF('Diario 20x3'!A:A,A111,'Diario 20x3'!C:C)</f>
        <v>120000000</v>
      </c>
      <c r="E111" s="209">
        <f>+SUMIF('Diario 20x3'!A:A,A111,'Diario 20x3'!D:D)</f>
        <v>0</v>
      </c>
      <c r="F111" s="209">
        <f t="shared" si="6"/>
        <v>120000000</v>
      </c>
    </row>
    <row r="112" spans="1:6" x14ac:dyDescent="0.2">
      <c r="A112" s="208">
        <f>+'BP 311220x2'!A112</f>
        <v>511515</v>
      </c>
      <c r="B112" s="208" t="str">
        <f>+'BP 311220x2'!B112</f>
        <v>Impuesto predial</v>
      </c>
      <c r="C112" s="209"/>
      <c r="D112" s="209">
        <f>+SUMIF('Diario 20x3'!A:A,A112,'Diario 20x3'!C:C)</f>
        <v>67543000</v>
      </c>
      <c r="E112" s="209">
        <f>+SUMIF('Diario 20x3'!A:A,A112,'Diario 20x3'!D:D)</f>
        <v>0</v>
      </c>
      <c r="F112" s="209">
        <f t="shared" si="6"/>
        <v>67543000</v>
      </c>
    </row>
    <row r="113" spans="1:6" x14ac:dyDescent="0.2">
      <c r="A113" s="208">
        <f>+'BP 311220x2'!A113</f>
        <v>511590</v>
      </c>
      <c r="B113" s="208" t="str">
        <f>+'BP 311220x2'!B113</f>
        <v>Impuesto a la riqueza</v>
      </c>
      <c r="C113" s="209"/>
      <c r="D113" s="209">
        <f>+SUMIF('Diario 20x3'!A:A,A113,'Diario 20x3'!C:C)</f>
        <v>6543000</v>
      </c>
      <c r="E113" s="209">
        <f>+SUMIF('Diario 20x3'!A:A,A113,'Diario 20x3'!D:D)</f>
        <v>0</v>
      </c>
      <c r="F113" s="209">
        <f t="shared" si="6"/>
        <v>6543000</v>
      </c>
    </row>
    <row r="114" spans="1:6" x14ac:dyDescent="0.2">
      <c r="A114" s="208">
        <f>+'BP 311220x2'!A114</f>
        <v>511005</v>
      </c>
      <c r="B114" s="208" t="str">
        <f>+'BP 311220x2'!B114</f>
        <v>Gastos por honorarios</v>
      </c>
      <c r="C114" s="209"/>
      <c r="D114" s="209">
        <f>+SUMIF('Diario 20x3'!A:A,A114,'Diario 20x3'!C:C)</f>
        <v>145000000</v>
      </c>
      <c r="E114" s="209">
        <f>+SUMIF('Diario 20x3'!A:A,A114,'Diario 20x3'!D:D)</f>
        <v>0</v>
      </c>
      <c r="F114" s="209">
        <f t="shared" si="6"/>
        <v>145000000</v>
      </c>
    </row>
    <row r="115" spans="1:6" x14ac:dyDescent="0.2">
      <c r="A115" s="208">
        <f>+'BP 311220x2'!A115</f>
        <v>512005</v>
      </c>
      <c r="B115" s="208" t="str">
        <f>+'BP 311220x2'!B115</f>
        <v xml:space="preserve">Gasto por arrendamientos </v>
      </c>
      <c r="C115" s="209"/>
      <c r="D115" s="209">
        <f>+SUMIF('Diario 20x3'!A:A,A115,'Diario 20x3'!C:C)</f>
        <v>140352000</v>
      </c>
      <c r="E115" s="209">
        <f>+SUMIF('Diario 20x3'!A:A,A115,'Diario 20x3'!D:D)</f>
        <v>0</v>
      </c>
      <c r="F115" s="209">
        <f t="shared" si="6"/>
        <v>140352000</v>
      </c>
    </row>
    <row r="116" spans="1:6" x14ac:dyDescent="0.2">
      <c r="A116" s="208">
        <f>+'BP 311220x2'!A116</f>
        <v>513505</v>
      </c>
      <c r="B116" s="208" t="str">
        <f>+'BP 311220x2'!B116</f>
        <v>Gastos por servicios</v>
      </c>
      <c r="C116" s="209"/>
      <c r="D116" s="209">
        <f>+SUMIF('Diario 20x3'!A:A,A116,'Diario 20x3'!C:C)</f>
        <v>756000000</v>
      </c>
      <c r="E116" s="209">
        <f>+SUMIF('Diario 20x3'!A:A,A116,'Diario 20x3'!D:D)</f>
        <v>0</v>
      </c>
      <c r="F116" s="209">
        <f t="shared" si="6"/>
        <v>756000000</v>
      </c>
    </row>
    <row r="117" spans="1:6" x14ac:dyDescent="0.2">
      <c r="A117" s="208">
        <f>+'BP 311220x2'!A117</f>
        <v>514005</v>
      </c>
      <c r="B117" s="208" t="str">
        <f>+'BP 311220x2'!B117</f>
        <v>Gastos legales</v>
      </c>
      <c r="C117" s="209"/>
      <c r="D117" s="209">
        <f>+SUMIF('Diario 20x3'!A:A,A117,'Diario 20x3'!C:C)</f>
        <v>43125000</v>
      </c>
      <c r="E117" s="209">
        <f>+SUMIF('Diario 20x3'!A:A,A117,'Diario 20x3'!D:D)</f>
        <v>0</v>
      </c>
      <c r="F117" s="209">
        <f t="shared" si="6"/>
        <v>43125000</v>
      </c>
    </row>
    <row r="118" spans="1:6" x14ac:dyDescent="0.2">
      <c r="A118" s="208">
        <f>+'BP 311220x2'!A118</f>
        <v>516005</v>
      </c>
      <c r="B118" s="208" t="str">
        <f>+'BP 311220x2'!B118</f>
        <v>Gastos por depreciaciones</v>
      </c>
      <c r="C118" s="209"/>
      <c r="D118" s="209">
        <f>+SUMIF('Diario 20x3'!A:A,A118,'Diario 20x3'!C:C)</f>
        <v>43505095</v>
      </c>
      <c r="E118" s="209">
        <f>+SUMIF('Diario 20x3'!A:A,A118,'Diario 20x3'!D:D)</f>
        <v>0</v>
      </c>
      <c r="F118" s="209">
        <f t="shared" si="6"/>
        <v>43505095</v>
      </c>
    </row>
    <row r="119" spans="1:6" x14ac:dyDescent="0.2">
      <c r="A119" s="208">
        <f>+'BP 311220x2'!A119</f>
        <v>516098</v>
      </c>
      <c r="B119" s="208" t="str">
        <f>+'BP 311220x2'!B119</f>
        <v>Gastos por depreciaciones ajuste NIIF</v>
      </c>
      <c r="C119" s="209"/>
      <c r="D119" s="209">
        <f>+SUMIF('Diario 20x3'!A:A,A119,'Diario 20x3'!C:C)</f>
        <v>6190476</v>
      </c>
      <c r="E119" s="209">
        <f>+SUMIF('Diario 20x3'!A:A,A119,'Diario 20x3'!D:D)</f>
        <v>0</v>
      </c>
      <c r="F119" s="209">
        <f t="shared" si="6"/>
        <v>6190476</v>
      </c>
    </row>
    <row r="120" spans="1:6" x14ac:dyDescent="0.2">
      <c r="A120" s="208">
        <f>+'BP 311220x2'!A120</f>
        <v>514505</v>
      </c>
      <c r="B120" s="208" t="str">
        <f>+'BP 311220x2'!B120</f>
        <v>Mantenimientos</v>
      </c>
      <c r="C120" s="209"/>
      <c r="D120" s="209">
        <f>+SUMIF('Diario 20x3'!A:A,A120,'Diario 20x3'!C:C)</f>
        <v>157000000</v>
      </c>
      <c r="E120" s="209">
        <f>+SUMIF('Diario 20x3'!A:A,A120,'Diario 20x3'!D:D)</f>
        <v>0</v>
      </c>
      <c r="F120" s="209">
        <f t="shared" si="6"/>
        <v>157000000</v>
      </c>
    </row>
    <row r="121" spans="1:6" x14ac:dyDescent="0.2">
      <c r="A121" s="208">
        <f>+'BP 311220x2'!A121</f>
        <v>513005</v>
      </c>
      <c r="B121" s="208" t="str">
        <f>+'BP 311220x2'!B121</f>
        <v>Pólizas y seguros</v>
      </c>
      <c r="C121" s="209"/>
      <c r="D121" s="209">
        <f>+SUMIF('Diario 20x3'!A:A,A121,'Diario 20x3'!C:C)</f>
        <v>48062000</v>
      </c>
      <c r="E121" s="209">
        <f>+SUMIF('Diario 20x3'!A:A,A121,'Diario 20x3'!D:D)</f>
        <v>0</v>
      </c>
      <c r="F121" s="209">
        <f t="shared" si="6"/>
        <v>48062000</v>
      </c>
    </row>
    <row r="122" spans="1:6" x14ac:dyDescent="0.2">
      <c r="A122" s="208">
        <f>+'BP 311220x2'!A122</f>
        <v>515505</v>
      </c>
      <c r="B122" s="208" t="str">
        <f>+'BP 311220x2'!B122</f>
        <v>Gastos de viajes</v>
      </c>
      <c r="C122" s="209"/>
      <c r="D122" s="209">
        <f>+SUMIF('Diario 20x3'!A:A,A122,'Diario 20x3'!C:C)</f>
        <v>54585000</v>
      </c>
      <c r="E122" s="209">
        <f>+SUMIF('Diario 20x3'!A:A,A122,'Diario 20x3'!D:D)</f>
        <v>0</v>
      </c>
      <c r="F122" s="209">
        <f t="shared" si="6"/>
        <v>54585000</v>
      </c>
    </row>
    <row r="123" spans="1:6" x14ac:dyDescent="0.2">
      <c r="A123" s="208">
        <f>+'BP 311220x2'!A123</f>
        <v>519510</v>
      </c>
      <c r="B123" s="208" t="str">
        <f>+'BP 311220x2'!B123</f>
        <v>Gastos por suscripciones</v>
      </c>
      <c r="C123" s="209"/>
      <c r="D123" s="209">
        <f>+SUMIF('Diario 20x3'!A:A,A123,'Diario 20x3'!C:C)</f>
        <v>18560000</v>
      </c>
      <c r="E123" s="209">
        <f>+SUMIF('Diario 20x3'!A:A,A123,'Diario 20x3'!D:D)</f>
        <v>0</v>
      </c>
      <c r="F123" s="209">
        <f t="shared" si="6"/>
        <v>18560000</v>
      </c>
    </row>
    <row r="124" spans="1:6" x14ac:dyDescent="0.2">
      <c r="A124" s="208">
        <f>+'BP 311220x2'!A124</f>
        <v>516505</v>
      </c>
      <c r="B124" s="208" t="str">
        <f>+'BP 311220x2'!B124</f>
        <v>Gasto por amortización de diferidos</v>
      </c>
      <c r="C124" s="209"/>
      <c r="D124" s="209">
        <f>+SUMIF('Diario 20x3'!A:A,A124,'Diario 20x3'!C:C)</f>
        <v>0</v>
      </c>
      <c r="E124" s="209">
        <f>+SUMIF('Diario 20x3'!A:A,A124,'Diario 20x3'!D:D)</f>
        <v>0</v>
      </c>
      <c r="F124" s="209">
        <f t="shared" si="6"/>
        <v>0</v>
      </c>
    </row>
    <row r="125" spans="1:6" x14ac:dyDescent="0.2">
      <c r="A125" s="208">
        <f>+'BP 311220x2'!A125</f>
        <v>519530</v>
      </c>
      <c r="B125" s="208" t="str">
        <f>+'BP 311220x2'!B125</f>
        <v>Gastos por papelería</v>
      </c>
      <c r="C125" s="209"/>
      <c r="D125" s="209">
        <f>+SUMIF('Diario 20x3'!A:A,A125,'Diario 20x3'!C:C)</f>
        <v>76543000</v>
      </c>
      <c r="E125" s="209">
        <f>+SUMIF('Diario 20x3'!A:A,A125,'Diario 20x3'!D:D)</f>
        <v>0</v>
      </c>
      <c r="F125" s="209">
        <f t="shared" si="6"/>
        <v>76543000</v>
      </c>
    </row>
    <row r="126" spans="1:6" x14ac:dyDescent="0.2">
      <c r="A126" s="208">
        <f>+'BP 311220x2'!A126</f>
        <v>519585</v>
      </c>
      <c r="B126" s="208" t="str">
        <f>+'BP 311220x2'!B126</f>
        <v>Gastos de combustibles y otros</v>
      </c>
      <c r="C126" s="209"/>
      <c r="D126" s="209">
        <f>+SUMIF('Diario 20x3'!A:A,A126,'Diario 20x3'!C:C)</f>
        <v>67876000</v>
      </c>
      <c r="E126" s="209">
        <f>+SUMIF('Diario 20x3'!A:A,A126,'Diario 20x3'!D:D)</f>
        <v>0</v>
      </c>
      <c r="F126" s="209">
        <f t="shared" si="6"/>
        <v>67876000</v>
      </c>
    </row>
    <row r="127" spans="1:6" x14ac:dyDescent="0.2">
      <c r="A127" s="208">
        <f>+'BP 311220x2'!A127</f>
        <v>539505</v>
      </c>
      <c r="B127" s="208" t="str">
        <f>+'BP 311220x2'!B127</f>
        <v>Gastos por demandas</v>
      </c>
      <c r="C127" s="209"/>
      <c r="D127" s="209">
        <f>+SUMIF('Diario 20x3'!A:A,A127,'Diario 20x3'!C:C)</f>
        <v>212422871</v>
      </c>
      <c r="E127" s="209">
        <f>+SUMIF('Diario 20x3'!A:A,A127,'Diario 20x3'!D:D)</f>
        <v>135074000</v>
      </c>
      <c r="F127" s="209">
        <f t="shared" si="6"/>
        <v>77348871</v>
      </c>
    </row>
    <row r="128" spans="1:6" x14ac:dyDescent="0.2">
      <c r="A128" s="208">
        <f>+'BP 311220x2'!A128</f>
        <v>516510</v>
      </c>
      <c r="B128" s="208" t="str">
        <f>+'BP 311220x2'!B128</f>
        <v>Amortización intangibles</v>
      </c>
      <c r="C128" s="209"/>
      <c r="D128" s="209">
        <f>+SUMIF('Diario 20x3'!A:A,A128,'Diario 20x3'!C:C)</f>
        <v>13000000</v>
      </c>
      <c r="E128" s="209">
        <f>+SUMIF('Diario 20x3'!A:A,A128,'Diario 20x3'!D:D)</f>
        <v>0</v>
      </c>
      <c r="F128" s="209">
        <f t="shared" si="6"/>
        <v>13000000</v>
      </c>
    </row>
    <row r="129" spans="1:6" x14ac:dyDescent="0.2">
      <c r="A129" s="208">
        <f>+'BP 311220x2'!A129</f>
        <v>519905</v>
      </c>
      <c r="B129" s="208" t="str">
        <f>+'BP 311220x2'!B129</f>
        <v>Deterioro de cuentas por cobrar fiscal</v>
      </c>
      <c r="C129" s="209"/>
      <c r="D129" s="209">
        <f>+SUMIF('Diario 20x3'!A:A,A129,'Diario 20x3'!C:C)</f>
        <v>0</v>
      </c>
      <c r="E129" s="209">
        <f>+SUMIF('Diario 20x3'!A:A,A129,'Diario 20x3'!D:D)</f>
        <v>0</v>
      </c>
      <c r="F129" s="209">
        <f t="shared" si="6"/>
        <v>0</v>
      </c>
    </row>
    <row r="130" spans="1:6" x14ac:dyDescent="0.2">
      <c r="A130" s="208">
        <f>+'BP 311220x2'!A130</f>
        <v>519906</v>
      </c>
      <c r="B130" s="208" t="str">
        <f>+'BP 311220x2'!B130</f>
        <v>Deterioro de cuentas por cobrar ajuste NIIF</v>
      </c>
      <c r="C130" s="209"/>
      <c r="D130" s="209">
        <f>+SUMIF('Diario 20x3'!A:A,A130,'Diario 20x3'!C:C)</f>
        <v>0</v>
      </c>
      <c r="E130" s="209">
        <f>+SUMIF('Diario 20x3'!A:A,A130,'Diario 20x3'!D:D)</f>
        <v>0</v>
      </c>
      <c r="F130" s="209">
        <f t="shared" si="6"/>
        <v>0</v>
      </c>
    </row>
    <row r="131" spans="1:6" x14ac:dyDescent="0.2">
      <c r="A131" s="208">
        <f>+'BP 311220x2'!A131</f>
        <v>530505</v>
      </c>
      <c r="B131" s="208" t="str">
        <f>+'BP 311220x2'!B131</f>
        <v>Gastos bancarios y comisiones</v>
      </c>
      <c r="C131" s="209"/>
      <c r="D131" s="209">
        <f>+SUMIF('Diario 20x3'!A:A,A131,'Diario 20x3'!C:C)</f>
        <v>13456000</v>
      </c>
      <c r="E131" s="209">
        <f>+SUMIF('Diario 20x3'!A:A,A131,'Diario 20x3'!D:D)</f>
        <v>0</v>
      </c>
      <c r="F131" s="209">
        <f t="shared" si="6"/>
        <v>13456000</v>
      </c>
    </row>
    <row r="132" spans="1:6" x14ac:dyDescent="0.2">
      <c r="A132" s="208">
        <f>+'BP 311220x2'!A132</f>
        <v>530520</v>
      </c>
      <c r="B132" s="208" t="str">
        <f>+'BP 311220x2'!B132</f>
        <v>Gastos financieros</v>
      </c>
      <c r="C132" s="209"/>
      <c r="D132" s="209">
        <f>+SUMIF('Diario 20x3'!A:A,A132,'Diario 20x3'!C:C)</f>
        <v>255228597</v>
      </c>
      <c r="E132" s="209">
        <f>+SUMIF('Diario 20x3'!A:A,A132,'Diario 20x3'!D:D)</f>
        <v>0</v>
      </c>
      <c r="F132" s="209">
        <f t="shared" si="6"/>
        <v>255228597</v>
      </c>
    </row>
    <row r="133" spans="1:6" x14ac:dyDescent="0.2">
      <c r="A133" s="208">
        <f>+'BP 311220x2'!A133</f>
        <v>530521</v>
      </c>
      <c r="B133" s="208" t="str">
        <f>+'BP 311220x2'!B133</f>
        <v>Intereses- actualización de provisiones</v>
      </c>
      <c r="C133" s="209"/>
      <c r="D133" s="209">
        <f>+SUMIF('Diario 20x3'!A:A,A133,'Diario 20x3'!C:C)</f>
        <v>15332441</v>
      </c>
      <c r="E133" s="209">
        <f>+SUMIF('Diario 20x3'!A:A,A133,'Diario 20x3'!D:D)</f>
        <v>0</v>
      </c>
      <c r="F133" s="209">
        <f t="shared" ref="F133:F137" si="7">+C133+D133-E133</f>
        <v>15332441</v>
      </c>
    </row>
    <row r="134" spans="1:6" x14ac:dyDescent="0.2">
      <c r="A134" s="208">
        <f>+'BP 311220x2'!A134</f>
        <v>530522</v>
      </c>
      <c r="B134" s="208" t="str">
        <f>+'BP 311220x2'!B134</f>
        <v>Gastos financieros - costos de transacción</v>
      </c>
      <c r="C134" s="209"/>
      <c r="D134" s="209">
        <f>+SUMIF('Diario 20x3'!A:A,A134,'Diario 20x3'!C:C)</f>
        <v>20591301</v>
      </c>
      <c r="E134" s="209">
        <f>+SUMIF('Diario 20x3'!A:A,A134,'Diario 20x3'!D:D)</f>
        <v>0</v>
      </c>
      <c r="F134" s="209">
        <f t="shared" si="7"/>
        <v>20591301</v>
      </c>
    </row>
    <row r="135" spans="1:6" x14ac:dyDescent="0.2">
      <c r="A135" s="208">
        <f>+'BP 311220x2'!A135</f>
        <v>540505</v>
      </c>
      <c r="B135" s="208" t="str">
        <f>+'BP 311220x2'!B135</f>
        <v>Gasto impuesto ganancias corriente</v>
      </c>
      <c r="C135" s="209"/>
      <c r="D135" s="209">
        <f>+SUMIF('Diario 20x3'!A:A,A135,'Diario 20x3'!C:C)</f>
        <v>2479477000</v>
      </c>
      <c r="E135" s="209">
        <f>+SUMIF('Diario 20x3'!A:A,A135,'Diario 20x3'!D:D)</f>
        <v>0</v>
      </c>
      <c r="F135" s="209">
        <f t="shared" si="7"/>
        <v>2479477000</v>
      </c>
    </row>
    <row r="136" spans="1:6" x14ac:dyDescent="0.2">
      <c r="A136" s="208">
        <f>+'BP 311220x2'!A136</f>
        <v>540510</v>
      </c>
      <c r="B136" s="208" t="str">
        <f>+'BP 311220x2'!B136</f>
        <v>Gasto impuesto ganancias diferido</v>
      </c>
      <c r="C136" s="209"/>
      <c r="D136" s="209">
        <f>+SUMIF('Diario 20x3'!A:A,A136,'Diario 20x3'!C:C)</f>
        <v>-848838343.1909194</v>
      </c>
      <c r="E136" s="209">
        <f>+SUMIF('Diario 20x3'!A:A,A136,'Diario 20x3'!D:D)</f>
        <v>0</v>
      </c>
      <c r="F136" s="209">
        <f t="shared" si="7"/>
        <v>-848838343.1909194</v>
      </c>
    </row>
    <row r="137" spans="1:6" x14ac:dyDescent="0.2">
      <c r="A137" s="208">
        <f>+'BP 311220x2'!A137</f>
        <v>540515</v>
      </c>
      <c r="B137" s="208" t="str">
        <f>+'BP 311220x2'!B137</f>
        <v>Variaciones impuesto periodos anteriores</v>
      </c>
      <c r="C137" s="209"/>
      <c r="D137" s="209">
        <f>+SUMIF('Diario 20x3'!A:A,A137,'Diario 20x3'!C:C)</f>
        <v>0</v>
      </c>
      <c r="E137" s="209">
        <f>+SUMIF('Diario 20x3'!A:A,A137,'Diario 20x3'!D:D)</f>
        <v>0</v>
      </c>
      <c r="F137" s="209">
        <f t="shared" si="7"/>
        <v>0</v>
      </c>
    </row>
    <row r="138" spans="1:6" x14ac:dyDescent="0.2">
      <c r="B138" s="203" t="s">
        <v>193</v>
      </c>
      <c r="C138" s="211">
        <f>+C85-C103</f>
        <v>0</v>
      </c>
      <c r="D138" s="211">
        <f>+D85+D103</f>
        <v>25920646833.329082</v>
      </c>
      <c r="E138" s="211">
        <f>+E85+E103</f>
        <v>31374227905</v>
      </c>
      <c r="F138" s="211">
        <f>+F85-F103</f>
        <v>5453581071.6709175</v>
      </c>
    </row>
    <row r="140" spans="1:6" x14ac:dyDescent="0.2">
      <c r="F140" s="112"/>
    </row>
    <row r="142" spans="1:6" x14ac:dyDescent="0.2">
      <c r="B142" s="221" t="s">
        <v>223</v>
      </c>
      <c r="C142" s="222"/>
      <c r="D142" s="223">
        <f>SUM(D143:D150)</f>
        <v>20494158322</v>
      </c>
      <c r="E142" s="223">
        <f>SUM(E143:E150)</f>
        <v>20494158322</v>
      </c>
      <c r="F142" s="223">
        <f>SUM(F143:F150)</f>
        <v>0</v>
      </c>
    </row>
    <row r="143" spans="1:6" x14ac:dyDescent="0.2">
      <c r="A143" s="208">
        <f>+'BP 311220x2'!A143</f>
        <v>799999</v>
      </c>
      <c r="B143" s="208" t="str">
        <f>+'BP 311220x2'!B143</f>
        <v>CP reclasificación a costos de ventas</v>
      </c>
      <c r="C143" s="209"/>
      <c r="D143" s="209">
        <f>+SUMIF('Diario 20x3'!A:A,A143,'Diario 20x3'!C:C)</f>
        <v>0</v>
      </c>
      <c r="E143" s="209">
        <f>+SUMIF('Diario 20x3'!A:A,A143,'Diario 20x3'!D:D)</f>
        <v>19856802322</v>
      </c>
      <c r="F143" s="209">
        <f>+C143+D143-E143</f>
        <v>-19856802322</v>
      </c>
    </row>
    <row r="144" spans="1:6" x14ac:dyDescent="0.2">
      <c r="A144" s="208">
        <f>+'BP 311220x2'!A144</f>
        <v>710505</v>
      </c>
      <c r="B144" s="208" t="str">
        <f>+'BP 311220x2'!B144</f>
        <v>CP materias primas</v>
      </c>
      <c r="C144" s="209"/>
      <c r="D144" s="209">
        <f>+SUMIF('Diario 20x3'!A:A,A144,'Diario 20x3'!C:C)</f>
        <v>11849375000</v>
      </c>
      <c r="E144" s="209">
        <f>+SUMIF('Diario 20x3'!A:A,A144,'Diario 20x3'!D:D)</f>
        <v>637356000</v>
      </c>
      <c r="F144" s="209">
        <f t="shared" ref="F144:F150" si="8">+C144+D144-E144</f>
        <v>11212019000</v>
      </c>
    </row>
    <row r="145" spans="1:6" x14ac:dyDescent="0.2">
      <c r="A145" s="208">
        <f>+'BP 311220x2'!A145</f>
        <v>736005</v>
      </c>
      <c r="B145" s="208" t="str">
        <f>+'BP 311220x2'!B145</f>
        <v>CP depreciación</v>
      </c>
      <c r="C145" s="209"/>
      <c r="D145" s="209">
        <f>+SUMIF('Diario 20x3'!A:A,A145,'Diario 20x3'!C:C)</f>
        <v>204776533</v>
      </c>
      <c r="E145" s="209">
        <f>+SUMIF('Diario 20x3'!A:A,A145,'Diario 20x3'!D:D)</f>
        <v>0</v>
      </c>
      <c r="F145" s="209">
        <f t="shared" si="8"/>
        <v>204776533</v>
      </c>
    </row>
    <row r="146" spans="1:6" x14ac:dyDescent="0.2">
      <c r="A146" s="208">
        <f>+'BP 311220x2'!A146</f>
        <v>736098</v>
      </c>
      <c r="B146" s="208" t="str">
        <f>+'BP 311220x2'!B146</f>
        <v>CP depreciación NIIF</v>
      </c>
      <c r="C146" s="209"/>
      <c r="D146" s="209">
        <f>+SUMIF('Diario 20x3'!A:A,A146,'Diario 20x3'!C:C)</f>
        <v>-73350000</v>
      </c>
      <c r="E146" s="209">
        <f>+SUMIF('Diario 20x3'!A:A,A146,'Diario 20x3'!D:D)</f>
        <v>0</v>
      </c>
      <c r="F146" s="209">
        <f t="shared" si="8"/>
        <v>-73350000</v>
      </c>
    </row>
    <row r="147" spans="1:6" x14ac:dyDescent="0.2">
      <c r="A147" s="208">
        <f>+'BP 311220x2'!A147</f>
        <v>733005</v>
      </c>
      <c r="B147" s="208" t="str">
        <f>+'BP 311220x2'!B147</f>
        <v>CP seguros</v>
      </c>
      <c r="C147" s="209"/>
      <c r="D147" s="209">
        <f>+SUMIF('Diario 20x3'!A:A,A147,'Diario 20x3'!C:C)</f>
        <v>422356789</v>
      </c>
      <c r="E147" s="209">
        <f>+SUMIF('Diario 20x3'!A:A,A147,'Diario 20x3'!D:D)</f>
        <v>0</v>
      </c>
      <c r="F147" s="209">
        <f t="shared" si="8"/>
        <v>422356789</v>
      </c>
    </row>
    <row r="148" spans="1:6" x14ac:dyDescent="0.2">
      <c r="A148" s="208">
        <f>+'BP 311220x2'!A148</f>
        <v>720505</v>
      </c>
      <c r="B148" s="208" t="str">
        <f>+'BP 311220x2'!B148</f>
        <v>CP servicios de personal temporal</v>
      </c>
      <c r="C148" s="209"/>
      <c r="D148" s="209">
        <f>+SUMIF('Diario 20x3'!A:A,A148,'Diario 20x3'!C:C)</f>
        <v>6158000000</v>
      </c>
      <c r="E148" s="209">
        <f>+SUMIF('Diario 20x3'!A:A,A148,'Diario 20x3'!D:D)</f>
        <v>0</v>
      </c>
      <c r="F148" s="209">
        <f t="shared" si="8"/>
        <v>6158000000</v>
      </c>
    </row>
    <row r="149" spans="1:6" x14ac:dyDescent="0.2">
      <c r="A149" s="208">
        <f>+'BP 311220x2'!A149</f>
        <v>738005</v>
      </c>
      <c r="B149" s="208" t="str">
        <f>+'BP 311220x2'!B149</f>
        <v>CP otros CIF</v>
      </c>
      <c r="C149" s="209"/>
      <c r="D149" s="209">
        <f>+SUMIF('Diario 20x3'!A:A,A149,'Diario 20x3'!C:C)</f>
        <v>1933000000</v>
      </c>
      <c r="E149" s="209">
        <f>+SUMIF('Diario 20x3'!A:A,A149,'Diario 20x3'!D:D)</f>
        <v>0</v>
      </c>
      <c r="F149" s="209">
        <f t="shared" si="8"/>
        <v>1933000000</v>
      </c>
    </row>
    <row r="150" spans="1:6" x14ac:dyDescent="0.2">
      <c r="B150" s="208"/>
      <c r="C150" s="209"/>
      <c r="D150" s="209"/>
      <c r="E150" s="209"/>
      <c r="F150" s="209">
        <f t="shared" si="8"/>
        <v>0</v>
      </c>
    </row>
  </sheetData>
  <pageMargins left="0.39370078740157483" right="0.39370078740157483" top="0.39370078740157483" bottom="0.39370078740157483" header="0" footer="0"/>
  <pageSetup scale="64" orientation="landscape" horizontalDpi="120" verticalDpi="144"/>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149"/>
  <sheetViews>
    <sheetView showGridLines="0" zoomScaleNormal="100" workbookViewId="0">
      <pane xSplit="2" ySplit="4" topLeftCell="C78" activePane="bottomRight" state="frozen"/>
      <selection pane="topRight" activeCell="B1" sqref="B1"/>
      <selection pane="bottomLeft" activeCell="A4" sqref="A4"/>
      <selection pane="bottomRight" activeCell="C88" sqref="C88"/>
    </sheetView>
  </sheetViews>
  <sheetFormatPr baseColWidth="10" defaultRowHeight="12.75" x14ac:dyDescent="0.2"/>
  <cols>
    <col min="1" max="1" width="11.42578125" style="95"/>
    <col min="2" max="2" width="41.5703125" style="95" customWidth="1"/>
    <col min="3" max="4" width="21.5703125" style="112" customWidth="1"/>
    <col min="5" max="5" width="21.5703125" style="252" customWidth="1"/>
    <col min="6" max="9" width="11.42578125" style="190"/>
    <col min="10" max="10" width="18.28515625" style="95" bestFit="1" customWidth="1"/>
    <col min="11" max="11" width="16.140625" style="95" customWidth="1"/>
    <col min="12" max="12" width="16.42578125" style="95" bestFit="1" customWidth="1"/>
    <col min="13" max="22" width="11.42578125" style="95"/>
    <col min="23" max="23" width="13.42578125" style="95" bestFit="1" customWidth="1"/>
    <col min="24" max="16384" width="11.42578125" style="95"/>
  </cols>
  <sheetData>
    <row r="1" spans="1:25" ht="13.5" customHeight="1" x14ac:dyDescent="0.2">
      <c r="B1" s="56"/>
      <c r="C1" s="250"/>
      <c r="D1" s="250"/>
      <c r="E1" s="250"/>
      <c r="F1" s="95"/>
      <c r="G1" s="95"/>
      <c r="H1" s="95"/>
      <c r="I1" s="95"/>
    </row>
    <row r="2" spans="1:25" s="52" customFormat="1" x14ac:dyDescent="0.2">
      <c r="B2" s="33" t="s">
        <v>38</v>
      </c>
      <c r="C2" s="201" t="s">
        <v>91</v>
      </c>
      <c r="D2" s="121" t="s">
        <v>73</v>
      </c>
      <c r="E2" s="201"/>
    </row>
    <row r="3" spans="1:25" s="52" customFormat="1" x14ac:dyDescent="0.2">
      <c r="B3" s="33" t="s">
        <v>58</v>
      </c>
      <c r="C3" s="201"/>
      <c r="D3" s="201"/>
      <c r="E3" s="201"/>
    </row>
    <row r="4" spans="1:25" x14ac:dyDescent="0.2">
      <c r="A4" s="204" t="s">
        <v>1013</v>
      </c>
      <c r="B4" s="204"/>
      <c r="C4" s="205" t="s">
        <v>2200</v>
      </c>
      <c r="D4" s="205" t="s">
        <v>2201</v>
      </c>
      <c r="E4" s="205" t="s">
        <v>2202</v>
      </c>
      <c r="G4" s="251" t="s">
        <v>955</v>
      </c>
    </row>
    <row r="5" spans="1:25" x14ac:dyDescent="0.2">
      <c r="C5" s="252"/>
      <c r="D5" s="252"/>
    </row>
    <row r="6" spans="1:25" x14ac:dyDescent="0.2">
      <c r="A6" s="208">
        <f>+'BP 311220x3'!A7</f>
        <v>111005</v>
      </c>
      <c r="B6" s="208" t="str">
        <f>+'BP 311220x3'!B7</f>
        <v>Cuenta cte. Bancolombia</v>
      </c>
      <c r="C6" s="253">
        <f>+IFERROR((VLOOKUP((A6),'BP 311220x3'!A:F,6,0)),0)</f>
        <v>8431387839</v>
      </c>
      <c r="D6" s="253">
        <f>+IFERROR((VLOOKUP((A6),'BP 311220x2'!A:F,6,0)),0)</f>
        <v>3742052742</v>
      </c>
      <c r="E6" s="253">
        <f>+IFERROR((VLOOKUP((A6),'BP 010120x1'!A:C,3,0)),0)</f>
        <v>1242835000</v>
      </c>
      <c r="K6" s="254"/>
    </row>
    <row r="7" spans="1:25" x14ac:dyDescent="0.2">
      <c r="A7" s="208">
        <f>+'BP 311220x3'!A8</f>
        <v>111010</v>
      </c>
      <c r="B7" s="208" t="str">
        <f>+'BP 311220x3'!B8</f>
        <v xml:space="preserve">Cta Banco Miami </v>
      </c>
      <c r="C7" s="253">
        <f>+IFERROR((VLOOKUP((A7),'BP 311220x3'!A:F,6,0)),0)</f>
        <v>60807000</v>
      </c>
      <c r="D7" s="253">
        <f>+IFERROR((VLOOKUP((A7),'BP 311220x2'!A:F,6,0)),0)</f>
        <v>49173000</v>
      </c>
      <c r="E7" s="253">
        <f>+IFERROR((VLOOKUP((A7),'BP 010120x1'!A:C,3,0)),0)</f>
        <v>36520000</v>
      </c>
      <c r="K7" s="254"/>
    </row>
    <row r="8" spans="1:25" x14ac:dyDescent="0.2">
      <c r="A8" s="208">
        <f>+'BP 311220x3'!A9</f>
        <v>124505</v>
      </c>
      <c r="B8" s="208" t="str">
        <f>+'BP 311220x3'!B9</f>
        <v>Carteras colectivas</v>
      </c>
      <c r="C8" s="253">
        <f>+IFERROR((VLOOKUP((A8),'BP 311220x3'!A:F,6,0)),0)</f>
        <v>128337000</v>
      </c>
      <c r="D8" s="253">
        <f>+IFERROR((VLOOKUP((A8),'BP 311220x2'!A:F,6,0)),0)</f>
        <v>127192000</v>
      </c>
      <c r="E8" s="253">
        <f>+IFERROR((VLOOKUP((A8),'BP 010120x1'!A:C,3,0)),0)</f>
        <v>123567000</v>
      </c>
      <c r="K8" s="254"/>
    </row>
    <row r="9" spans="1:25" x14ac:dyDescent="0.2">
      <c r="A9" s="208">
        <f>+'BP 311220x3'!A10</f>
        <v>111006</v>
      </c>
      <c r="B9" s="208" t="str">
        <f>+'BP 311220x3'!B10</f>
        <v>Cuenta cte. Banco Bogotá</v>
      </c>
      <c r="C9" s="253">
        <f>+IFERROR((VLOOKUP((A9),'BP 311220x3'!A:F,6,0)),0)</f>
        <v>17586000</v>
      </c>
      <c r="D9" s="253">
        <f>+IFERROR((VLOOKUP((A9),'BP 311220x2'!A:F,6,0)),0)</f>
        <v>112563000</v>
      </c>
      <c r="E9" s="253">
        <f>+IFERROR((VLOOKUP((A9),'BP 010120x1'!A:C,3,0)),0)</f>
        <v>112563000</v>
      </c>
      <c r="K9" s="254"/>
    </row>
    <row r="10" spans="1:25" x14ac:dyDescent="0.2">
      <c r="A10" s="208">
        <f>+'BP 311220x3'!A11</f>
        <v>120550</v>
      </c>
      <c r="B10" s="208" t="str">
        <f>+'BP 311220x3'!B11</f>
        <v>Grupo Aval- preferencial (0.0094%)</v>
      </c>
      <c r="C10" s="253">
        <f>+IFERROR((VLOOKUP((A10),'BP 311220x3'!A:F,6,0)),0)</f>
        <v>325052000</v>
      </c>
      <c r="D10" s="253">
        <f>+IFERROR((VLOOKUP((A10),'BP 311220x2'!A:F,6,0)),0)</f>
        <v>325052000</v>
      </c>
      <c r="E10" s="253">
        <f>+IFERROR((VLOOKUP((A10),'BP 010120x1'!A:C,3,0)),0)</f>
        <v>325052000</v>
      </c>
      <c r="K10" s="254"/>
      <c r="P10" s="255"/>
    </row>
    <row r="11" spans="1:25" x14ac:dyDescent="0.2">
      <c r="A11" s="208">
        <f>+'BP 311220x3'!A12</f>
        <v>120551</v>
      </c>
      <c r="B11" s="208" t="str">
        <f>+'BP 311220x3'!B12</f>
        <v>Grupo aval - ajustes al VR</v>
      </c>
      <c r="C11" s="253">
        <f>+IFERROR((VLOOKUP((A11),'BP 311220x3'!A:F,6,0)),0)</f>
        <v>117488770</v>
      </c>
      <c r="D11" s="253">
        <f>+IFERROR((VLOOKUP((A11),'BP 311220x2'!A:F,6,0)),0)</f>
        <v>139681080</v>
      </c>
      <c r="E11" s="253">
        <f>+IFERROR((VLOOKUP((A11),'BP 010120x1'!A:C,3,0)),0)</f>
        <v>124015920</v>
      </c>
      <c r="K11" s="254"/>
      <c r="P11" s="255"/>
    </row>
    <row r="12" spans="1:25" x14ac:dyDescent="0.2">
      <c r="A12" s="208">
        <f>+'BP 311220x3'!A13</f>
        <v>120520</v>
      </c>
      <c r="B12" s="208" t="str">
        <f>+'BP 311220x3'!B13</f>
        <v>Ecopetrol SA (0,000005%)</v>
      </c>
      <c r="C12" s="253">
        <f>+IFERROR((VLOOKUP((A12),'BP 311220x3'!A:F,6,0)),0)</f>
        <v>650000000</v>
      </c>
      <c r="D12" s="253">
        <f>+IFERROR((VLOOKUP((A12),'BP 311220x2'!A:F,6,0)),0)</f>
        <v>650000000</v>
      </c>
      <c r="E12" s="253">
        <f>+IFERROR((VLOOKUP((A12),'BP 010120x1'!A:C,3,0)),0)</f>
        <v>0</v>
      </c>
      <c r="K12" s="254"/>
      <c r="P12" s="255"/>
      <c r="X12" s="255"/>
      <c r="Y12" s="255"/>
    </row>
    <row r="13" spans="1:25" x14ac:dyDescent="0.2">
      <c r="A13" s="208">
        <f>+'BP 311220x3'!A14</f>
        <v>120521</v>
      </c>
      <c r="B13" s="208" t="str">
        <f>+'BP 311220x3'!B14</f>
        <v>Ecopetrol - ajustes al VR</v>
      </c>
      <c r="C13" s="253">
        <f>+IFERROR((VLOOKUP((A13),'BP 311220x3'!A:F,6,0)),0)</f>
        <v>241429120</v>
      </c>
      <c r="D13" s="253">
        <f>+IFERROR((VLOOKUP((A13),'BP 311220x2'!A:F,6,0)),0)</f>
        <v>348214900</v>
      </c>
      <c r="E13" s="253">
        <f>+IFERROR((VLOOKUP((A13),'BP 010120x1'!A:C,3,0)),0)</f>
        <v>0</v>
      </c>
      <c r="K13" s="254"/>
      <c r="P13" s="255"/>
      <c r="X13" s="255"/>
      <c r="Y13" s="255"/>
    </row>
    <row r="14" spans="1:25" x14ac:dyDescent="0.2">
      <c r="A14" s="208">
        <f>+'BP 311220x3'!A15</f>
        <v>120530</v>
      </c>
      <c r="B14" s="208" t="str">
        <f>+'BP 311220x3'!B15</f>
        <v>Construcciones Lvg SAS (40%)</v>
      </c>
      <c r="C14" s="253">
        <f>+IFERROR((VLOOKUP((A14),'BP 311220x3'!A:F,6,0)),0)</f>
        <v>1806700000</v>
      </c>
      <c r="D14" s="253">
        <f>+IFERROR((VLOOKUP((A14),'BP 311220x2'!A:F,6,0)),0)</f>
        <v>1806700000</v>
      </c>
      <c r="E14" s="253">
        <f>+IFERROR((VLOOKUP((A14),'BP 010120x1'!A:C,3,0)),0)</f>
        <v>1806700000</v>
      </c>
      <c r="K14" s="254"/>
      <c r="P14" s="255"/>
      <c r="X14" s="255"/>
      <c r="Y14" s="255"/>
    </row>
    <row r="15" spans="1:25" x14ac:dyDescent="0.2">
      <c r="A15" s="208">
        <f>+'BP 311220x3'!A16</f>
        <v>122505</v>
      </c>
      <c r="B15" s="208" t="str">
        <f>+'BP 311220x3'!B16</f>
        <v>Inversiones en CDT</v>
      </c>
      <c r="C15" s="253">
        <f>+IFERROR((VLOOKUP((A15),'BP 311220x3'!A:F,6,0)),0)</f>
        <v>1200000000</v>
      </c>
      <c r="D15" s="253">
        <f>+IFERROR((VLOOKUP((A15),'BP 311220x2'!A:F,6,0)),0)</f>
        <v>1200000000</v>
      </c>
      <c r="E15" s="253">
        <f>+IFERROR((VLOOKUP((A15),'BP 010120x1'!A:C,3,0)),0)</f>
        <v>1200000000</v>
      </c>
      <c r="F15" s="122"/>
      <c r="K15" s="254"/>
      <c r="N15" s="33"/>
      <c r="O15" s="33"/>
      <c r="P15" s="256"/>
      <c r="X15" s="255"/>
      <c r="Y15" s="255"/>
    </row>
    <row r="16" spans="1:25" x14ac:dyDescent="0.2">
      <c r="A16" s="208">
        <f>+'BP 311220x3'!A17</f>
        <v>129505</v>
      </c>
      <c r="B16" s="208" t="str">
        <f>+'BP 311220x3'!B17</f>
        <v>Derivados financieros</v>
      </c>
      <c r="C16" s="253">
        <f>+IFERROR((VLOOKUP((A16),'BP 311220x3'!A:F,6,0)),0)</f>
        <v>26526324</v>
      </c>
      <c r="D16" s="253">
        <f>+IFERROR((VLOOKUP((A16),'BP 311220x2'!A:F,6,0)),0)</f>
        <v>147051000</v>
      </c>
      <c r="E16" s="253">
        <f>+IFERROR((VLOOKUP((A16),'BP 010120x1'!A:C,3,0)),0)</f>
        <v>78891000</v>
      </c>
      <c r="F16" s="122"/>
      <c r="K16" s="254"/>
      <c r="N16" s="33"/>
      <c r="O16" s="33"/>
      <c r="P16" s="256"/>
      <c r="X16" s="255"/>
      <c r="Y16" s="255"/>
    </row>
    <row r="17" spans="1:25" x14ac:dyDescent="0.2">
      <c r="A17" s="208">
        <f>+'BP 311220x3'!A18</f>
        <v>130505</v>
      </c>
      <c r="B17" s="208" t="str">
        <f>+'BP 311220x3'!B18</f>
        <v>Cuentas por cobrar clientes</v>
      </c>
      <c r="C17" s="253">
        <f>+IFERROR((VLOOKUP((A17),'BP 311220x3'!A:F,6,0)),0)</f>
        <v>1724422030</v>
      </c>
      <c r="D17" s="253">
        <f>+IFERROR((VLOOKUP((A17),'BP 311220x2'!A:F,6,0)),0)</f>
        <v>1751471156</v>
      </c>
      <c r="E17" s="253">
        <f>+IFERROR((VLOOKUP((A17),'BP 010120x1'!A:C,3,0)),0)</f>
        <v>1148431282</v>
      </c>
      <c r="F17" s="122"/>
      <c r="K17" s="254"/>
      <c r="N17" s="33"/>
      <c r="O17" s="33"/>
      <c r="P17" s="256"/>
      <c r="X17" s="255"/>
      <c r="Y17" s="255"/>
    </row>
    <row r="18" spans="1:25" x14ac:dyDescent="0.2">
      <c r="A18" s="208">
        <f>+'BP 311220x3'!A19</f>
        <v>132005</v>
      </c>
      <c r="B18" s="208" t="str">
        <f>+'BP 311220x3'!B19</f>
        <v>Préstamos a asociadas</v>
      </c>
      <c r="C18" s="253">
        <f>+IFERROR((VLOOKUP((A18),'BP 311220x3'!A:F,6,0)),0)</f>
        <v>45000000</v>
      </c>
      <c r="D18" s="253">
        <f>+IFERROR((VLOOKUP((A18),'BP 311220x2'!A:F,6,0)),0)</f>
        <v>45000000</v>
      </c>
      <c r="E18" s="253">
        <f>+IFERROR((VLOOKUP((A18),'BP 010120x1'!A:C,3,0)),0)</f>
        <v>45000000</v>
      </c>
      <c r="K18" s="254"/>
      <c r="P18" s="255"/>
      <c r="X18" s="255"/>
      <c r="Y18" s="255"/>
    </row>
    <row r="19" spans="1:25" x14ac:dyDescent="0.2">
      <c r="A19" s="208">
        <f>+'BP 311220x3'!A20</f>
        <v>133015</v>
      </c>
      <c r="B19" s="208" t="str">
        <f>+'BP 311220x3'!B20</f>
        <v xml:space="preserve">Avances para gastos de viaje </v>
      </c>
      <c r="C19" s="253">
        <f>+IFERROR((VLOOKUP((A19),'BP 311220x3'!A:F,6,0)),0)</f>
        <v>6543000</v>
      </c>
      <c r="D19" s="253">
        <f>+IFERROR((VLOOKUP((A19),'BP 311220x2'!A:F,6,0)),0)</f>
        <v>3150000</v>
      </c>
      <c r="E19" s="253">
        <f>+IFERROR((VLOOKUP((A19),'BP 010120x1'!A:C,3,0)),0)</f>
        <v>12500000</v>
      </c>
      <c r="K19" s="254"/>
      <c r="X19" s="255"/>
      <c r="Y19" s="255"/>
    </row>
    <row r="20" spans="1:25" x14ac:dyDescent="0.2">
      <c r="A20" s="208">
        <f>+'BP 311220x3'!A21</f>
        <v>135520</v>
      </c>
      <c r="B20" s="208" t="str">
        <f>+'BP 311220x3'!B21</f>
        <v>Saldo a favor IVA</v>
      </c>
      <c r="C20" s="253">
        <f>+IFERROR((VLOOKUP((A20),'BP 311220x3'!A:F,6,0)),0)</f>
        <v>0</v>
      </c>
      <c r="D20" s="253">
        <f>+IFERROR((VLOOKUP((A20),'BP 311220x2'!A:F,6,0)),0)</f>
        <v>0</v>
      </c>
      <c r="E20" s="253">
        <f>+IFERROR((VLOOKUP((A20),'BP 010120x1'!A:C,3,0)),0)</f>
        <v>23526000</v>
      </c>
      <c r="F20" s="122"/>
      <c r="K20" s="254"/>
      <c r="X20" s="255"/>
      <c r="Y20" s="255"/>
    </row>
    <row r="21" spans="1:25" x14ac:dyDescent="0.2">
      <c r="A21" s="208">
        <f>+'BP 311220x3'!A22</f>
        <v>135515</v>
      </c>
      <c r="B21" s="208" t="str">
        <f>+'BP 311220x3'!B22</f>
        <v>Retenciones y autorretenciones</v>
      </c>
      <c r="C21" s="253">
        <f>+IFERROR((VLOOKUP((A21),'BP 311220x3'!A:F,6,0)),0)</f>
        <v>0</v>
      </c>
      <c r="D21" s="253">
        <f>+IFERROR((VLOOKUP((A21),'BP 311220x2'!A:F,6,0)),0)</f>
        <v>0</v>
      </c>
      <c r="E21" s="253">
        <f>+IFERROR((VLOOKUP((A21),'BP 010120x1'!A:C,3,0)),0)</f>
        <v>0</v>
      </c>
      <c r="K21" s="254"/>
      <c r="X21" s="255"/>
      <c r="Y21" s="255"/>
    </row>
    <row r="22" spans="1:25" x14ac:dyDescent="0.2">
      <c r="A22" s="208">
        <f>+'BP 311220x3'!A23</f>
        <v>136510</v>
      </c>
      <c r="B22" s="208" t="str">
        <f>+'BP 311220x3'!B23</f>
        <v>Prestamos gerente</v>
      </c>
      <c r="C22" s="253">
        <f>+IFERROR((VLOOKUP((A22),'BP 311220x3'!A:F,6,0)),0)</f>
        <v>62957000</v>
      </c>
      <c r="D22" s="253">
        <f>+IFERROR((VLOOKUP((A22),'BP 311220x2'!A:F,6,0)),0)</f>
        <v>67500000</v>
      </c>
      <c r="E22" s="253">
        <f>+IFERROR((VLOOKUP((A22),'BP 010120x1'!A:C,3,0)),0)</f>
        <v>72000000</v>
      </c>
      <c r="K22" s="254"/>
      <c r="X22" s="255"/>
      <c r="Y22" s="255"/>
    </row>
    <row r="23" spans="1:25" x14ac:dyDescent="0.2">
      <c r="A23" s="208">
        <f>+'BP 311220x3'!A24</f>
        <v>139905</v>
      </c>
      <c r="B23" s="208" t="str">
        <f>+'BP 311220x3'!B24</f>
        <v>Provisión- C x Cobrar fiscal</v>
      </c>
      <c r="C23" s="253">
        <f>+IFERROR((VLOOKUP((A23),'BP 311220x3'!A:F,6,0)),0)</f>
        <v>0</v>
      </c>
      <c r="D23" s="253">
        <f>+IFERROR((VLOOKUP((A23),'BP 311220x2'!A:F,6,0)),0)</f>
        <v>-456833344.63999999</v>
      </c>
      <c r="E23" s="253">
        <f>+IFERROR((VLOOKUP((A23),'BP 010120x1'!A:C,3,0)),0)</f>
        <v>-299010668.22000003</v>
      </c>
      <c r="K23" s="254"/>
    </row>
    <row r="24" spans="1:25" x14ac:dyDescent="0.2">
      <c r="A24" s="208">
        <f>+'BP 311220x3'!A25</f>
        <v>139906</v>
      </c>
      <c r="B24" s="208" t="str">
        <f>+'BP 311220x3'!B25</f>
        <v>Deterioro CXC - ajuste a NIIF</v>
      </c>
      <c r="C24" s="253">
        <f>+IFERROR((VLOOKUP((A24),'BP 311220x3'!A:F,6,0)),0)</f>
        <v>-403327671</v>
      </c>
      <c r="D24" s="253">
        <f>+IFERROR((VLOOKUP((A24),'BP 311220x2'!A:F,6,0)),0)</f>
        <v>47131632.639999986</v>
      </c>
      <c r="E24" s="253">
        <f>+IFERROR((VLOOKUP((A24),'BP 010120x1'!A:C,3,0)),0)</f>
        <v>-121687829.77999997</v>
      </c>
      <c r="K24" s="254"/>
    </row>
    <row r="25" spans="1:25" x14ac:dyDescent="0.2">
      <c r="A25" s="208">
        <f>+'BP 311220x3'!A26</f>
        <v>140501</v>
      </c>
      <c r="B25" s="208" t="str">
        <f>+'BP 311220x3'!B26</f>
        <v>Materia prima</v>
      </c>
      <c r="C25" s="253">
        <f>+IFERROR((VLOOKUP((A25),'BP 311220x3'!A:F,6,0)),0)</f>
        <v>637356000</v>
      </c>
      <c r="D25" s="253">
        <f>+IFERROR((VLOOKUP((A25),'BP 311220x2'!A:F,6,0)),0)</f>
        <v>579150000</v>
      </c>
      <c r="E25" s="253">
        <f>+IFERROR((VLOOKUP((A25),'BP 010120x1'!A:C,3,0)),0)</f>
        <v>652890000</v>
      </c>
      <c r="I25" s="255"/>
      <c r="K25" s="254"/>
    </row>
    <row r="26" spans="1:25" x14ac:dyDescent="0.2">
      <c r="A26" s="208">
        <f>+'BP 311220x3'!A27</f>
        <v>143005</v>
      </c>
      <c r="B26" s="208" t="str">
        <f>+'BP 311220x3'!B27</f>
        <v>Productos terminados</v>
      </c>
      <c r="C26" s="253">
        <f>+IFERROR((VLOOKUP((A26),'BP 311220x3'!A:F,6,0)),0)</f>
        <v>524369000</v>
      </c>
      <c r="D26" s="253">
        <f>+IFERROR((VLOOKUP((A26),'BP 311220x2'!A:F,6,0)),0)</f>
        <v>572030000</v>
      </c>
      <c r="E26" s="253">
        <f>+IFERROR((VLOOKUP((A26),'BP 010120x1'!A:C,3,0)),0)</f>
        <v>579550000</v>
      </c>
      <c r="I26" s="255"/>
      <c r="K26" s="254"/>
    </row>
    <row r="27" spans="1:25" x14ac:dyDescent="0.2">
      <c r="A27" s="208">
        <f>+'BP 311220x3'!A28</f>
        <v>144505</v>
      </c>
      <c r="B27" s="208" t="str">
        <f>+'BP 311220x3'!B28</f>
        <v>Activo biológico- costo</v>
      </c>
      <c r="C27" s="253">
        <f>+IFERROR((VLOOKUP((A27),'BP 311220x3'!A:F,6,0)),0)</f>
        <v>1479259748</v>
      </c>
      <c r="D27" s="253">
        <f>+IFERROR((VLOOKUP((A27),'BP 311220x2'!A:F,6,0)),0)</f>
        <v>1431326748</v>
      </c>
      <c r="E27" s="253">
        <f>+IFERROR((VLOOKUP((A27),'BP 010120x1'!A:C,3,0)),0)</f>
        <v>900326748</v>
      </c>
      <c r="I27" s="255"/>
      <c r="K27" s="254"/>
    </row>
    <row r="28" spans="1:25" x14ac:dyDescent="0.2">
      <c r="A28" s="208">
        <f>+'BP 311220x3'!A29</f>
        <v>144597</v>
      </c>
      <c r="B28" s="208" t="str">
        <f>+'BP 311220x3'!B29</f>
        <v>Activo biológico- ajuste al valor razonable</v>
      </c>
      <c r="C28" s="253">
        <f>+IFERROR((VLOOKUP((A28),'BP 311220x3'!A:F,6,0)),0)</f>
        <v>401740252</v>
      </c>
      <c r="D28" s="253">
        <f>+IFERROR((VLOOKUP((A28),'BP 311220x2'!A:F,6,0)),0)</f>
        <v>267673252</v>
      </c>
      <c r="E28" s="253">
        <f>+IFERROR((VLOOKUP((A28),'BP 010120x1'!A:C,3,0)),0)</f>
        <v>186379252</v>
      </c>
      <c r="I28" s="255"/>
      <c r="K28" s="254"/>
    </row>
    <row r="29" spans="1:25" x14ac:dyDescent="0.2">
      <c r="A29" s="208">
        <f>+'BP 311220x3'!A30</f>
        <v>149905</v>
      </c>
      <c r="B29" s="208" t="str">
        <f>+'BP 311220x3'!B30</f>
        <v>Deterioro de inventarios</v>
      </c>
      <c r="C29" s="253">
        <f>+IFERROR((VLOOKUP((A29),'BP 311220x3'!A:F,6,0)),0)</f>
        <v>0</v>
      </c>
      <c r="D29" s="253">
        <f>+IFERROR((VLOOKUP((A29),'BP 311220x2'!A:F,6,0)),0)</f>
        <v>-25350000</v>
      </c>
      <c r="E29" s="253">
        <f>+IFERROR((VLOOKUP((A29),'BP 010120x1'!A:C,3,0)),0)</f>
        <v>-14800000</v>
      </c>
      <c r="F29" s="122"/>
      <c r="I29" s="255"/>
      <c r="K29" s="254"/>
    </row>
    <row r="30" spans="1:25" x14ac:dyDescent="0.2">
      <c r="A30" s="208">
        <f>+'BP 311220x3'!A31</f>
        <v>150405</v>
      </c>
      <c r="B30" s="208" t="str">
        <f>+'BP 311220x3'!B31</f>
        <v>Terreno 1- Producción</v>
      </c>
      <c r="C30" s="253">
        <f>+IFERROR((VLOOKUP((A30),'BP 311220x3'!A:F,6,0)),0)</f>
        <v>650000000</v>
      </c>
      <c r="D30" s="253">
        <f>+IFERROR((VLOOKUP((A30),'BP 311220x2'!A:F,6,0)),0)</f>
        <v>650000000</v>
      </c>
      <c r="E30" s="253">
        <f>+IFERROR((VLOOKUP((A30),'BP 010120x1'!A:C,3,0)),0)</f>
        <v>650000000</v>
      </c>
      <c r="F30" s="122"/>
      <c r="I30" s="255"/>
      <c r="K30" s="254"/>
    </row>
    <row r="31" spans="1:25" x14ac:dyDescent="0.2">
      <c r="A31" s="208">
        <f>+'BP 311220x3'!A32</f>
        <v>150407</v>
      </c>
      <c r="B31" s="208" t="str">
        <f>+'BP 311220x3'!B32</f>
        <v>Terreno, parqueadero</v>
      </c>
      <c r="C31" s="253">
        <f>+IFERROR((VLOOKUP((A31),'BP 311220x3'!A:F,6,0)),0)</f>
        <v>550000000</v>
      </c>
      <c r="D31" s="253">
        <f>+IFERROR((VLOOKUP((A31),'BP 311220x2'!A:F,6,0)),0)</f>
        <v>550000000</v>
      </c>
      <c r="E31" s="253">
        <f>+IFERROR((VLOOKUP((A31),'BP 010120x1'!A:C,3,0)),0)</f>
        <v>550000000</v>
      </c>
      <c r="I31" s="255"/>
      <c r="K31" s="254"/>
    </row>
    <row r="32" spans="1:25" x14ac:dyDescent="0.2">
      <c r="A32" s="208">
        <f>+'BP 311220x3'!A33</f>
        <v>150497</v>
      </c>
      <c r="B32" s="208" t="str">
        <f>+'BP 311220x3'!B33</f>
        <v>Terrenos ajustes NIIF</v>
      </c>
      <c r="C32" s="253">
        <f>+IFERROR((VLOOKUP((A32),'BP 311220x3'!A:F,6,0)),0)</f>
        <v>1450000000</v>
      </c>
      <c r="D32" s="253">
        <f>+IFERROR((VLOOKUP((A32),'BP 311220x2'!A:F,6,0)),0)</f>
        <v>1450000000</v>
      </c>
      <c r="E32" s="253">
        <f>+IFERROR((VLOOKUP((A32),'BP 010120x1'!A:C,3,0)),0)</f>
        <v>1450000000</v>
      </c>
      <c r="F32" s="122"/>
      <c r="K32" s="254"/>
    </row>
    <row r="33" spans="1:23" x14ac:dyDescent="0.2">
      <c r="A33" s="208">
        <f>+'BP 311220x3'!A34</f>
        <v>151605</v>
      </c>
      <c r="B33" s="208" t="str">
        <f>+'BP 311220x3'!B34</f>
        <v xml:space="preserve">Edificación </v>
      </c>
      <c r="C33" s="253">
        <f>+IFERROR((VLOOKUP((A33),'BP 311220x3'!A:F,6,0)),0)</f>
        <v>2445000000</v>
      </c>
      <c r="D33" s="253">
        <f>+IFERROR((VLOOKUP((A33),'BP 311220x2'!A:F,6,0)),0)</f>
        <v>2445000000</v>
      </c>
      <c r="E33" s="253">
        <f>+IFERROR((VLOOKUP((A33),'BP 010120x1'!A:C,3,0)),0)</f>
        <v>2445000000</v>
      </c>
      <c r="K33" s="254"/>
    </row>
    <row r="34" spans="1:23" x14ac:dyDescent="0.2">
      <c r="A34" s="208">
        <f>+'BP 311220x3'!A35</f>
        <v>152005</v>
      </c>
      <c r="B34" s="208" t="str">
        <f>+'BP 311220x3'!B35</f>
        <v xml:space="preserve">Maquina </v>
      </c>
      <c r="C34" s="253">
        <f>+IFERROR((VLOOKUP((A34),'BP 311220x3'!A:F,6,0)),0)</f>
        <v>825265324</v>
      </c>
      <c r="D34" s="253">
        <f>+IFERROR((VLOOKUP((A34),'BP 311220x2'!A:F,6,0)),0)</f>
        <v>825265324</v>
      </c>
      <c r="E34" s="253">
        <f>+IFERROR((VLOOKUP((A34),'BP 010120x1'!A:C,3,0)),0)</f>
        <v>825265324</v>
      </c>
      <c r="F34" s="122"/>
      <c r="K34" s="254"/>
    </row>
    <row r="35" spans="1:23" x14ac:dyDescent="0.2">
      <c r="A35" s="208">
        <f>+'BP 311220x3'!A36</f>
        <v>152405</v>
      </c>
      <c r="B35" s="208" t="str">
        <f>+'BP 311220x3'!B36</f>
        <v>Muebles y enseres</v>
      </c>
      <c r="C35" s="253">
        <f>+IFERROR((VLOOKUP((A35),'BP 311220x3'!A:F,6,0)),0)</f>
        <v>435050949</v>
      </c>
      <c r="D35" s="253">
        <f>+IFERROR((VLOOKUP((A35),'BP 311220x2'!A:F,6,0)),0)</f>
        <v>435050949</v>
      </c>
      <c r="E35" s="253">
        <f>+IFERROR((VLOOKUP((A35),'BP 010120x1'!A:C,3,0)),0)</f>
        <v>435050949</v>
      </c>
      <c r="F35" s="122"/>
      <c r="K35" s="254"/>
    </row>
    <row r="36" spans="1:23" x14ac:dyDescent="0.2">
      <c r="A36" s="208">
        <f>+'BP 311220x3'!A37</f>
        <v>154010</v>
      </c>
      <c r="B36" s="208" t="str">
        <f>+'BP 311220x3'!B37</f>
        <v xml:space="preserve">Tractomula </v>
      </c>
      <c r="C36" s="253">
        <f>+IFERROR((VLOOKUP((A36),'BP 311220x3'!A:F,6,0)),0)</f>
        <v>245000000</v>
      </c>
      <c r="D36" s="253">
        <f>+IFERROR((VLOOKUP((A36),'BP 311220x2'!A:F,6,0)),0)</f>
        <v>245000000</v>
      </c>
      <c r="E36" s="253">
        <f>+IFERROR((VLOOKUP((A36),'BP 010120x1'!A:C,3,0)),0)</f>
        <v>245000000</v>
      </c>
      <c r="F36" s="122"/>
      <c r="K36" s="254"/>
    </row>
    <row r="37" spans="1:23" x14ac:dyDescent="0.2">
      <c r="A37" s="208">
        <f>+'BP 311220x3'!A38</f>
        <v>159205</v>
      </c>
      <c r="B37" s="208" t="str">
        <f>+'BP 311220x3'!B38</f>
        <v>Dep acumulada edificación</v>
      </c>
      <c r="C37" s="253">
        <f>+IFERROR((VLOOKUP((A37),'BP 311220x3'!A:F,6,0)),0)</f>
        <v>-1711500000</v>
      </c>
      <c r="D37" s="253">
        <f>+IFERROR((VLOOKUP((A37),'BP 311220x2'!A:F,6,0)),0)</f>
        <v>-1589250000</v>
      </c>
      <c r="E37" s="253">
        <f>+IFERROR((VLOOKUP((A37),'BP 010120x1'!A:C,3,0)),0)</f>
        <v>-1467000000</v>
      </c>
      <c r="K37" s="254"/>
    </row>
    <row r="38" spans="1:23" x14ac:dyDescent="0.2">
      <c r="A38" s="208">
        <f>+'BP 311220x3'!A39</f>
        <v>159297</v>
      </c>
      <c r="B38" s="208" t="str">
        <f>+'BP 311220x3'!B39</f>
        <v>Dep acumulada edificación ajuste NIIF</v>
      </c>
      <c r="C38" s="253">
        <f>+IFERROR((VLOOKUP((A38),'BP 311220x3'!A:F,6,0)),0)</f>
        <v>1515900000</v>
      </c>
      <c r="D38" s="253">
        <f>+IFERROR((VLOOKUP((A38),'BP 311220x2'!A:F,6,0)),0)</f>
        <v>1442550000</v>
      </c>
      <c r="E38" s="253">
        <f>+IFERROR((VLOOKUP((A38),'BP 010120x1'!A:C,3,0)),0)</f>
        <v>1369200000</v>
      </c>
      <c r="K38" s="254"/>
    </row>
    <row r="39" spans="1:23" x14ac:dyDescent="0.2">
      <c r="A39" s="208">
        <f>+'BP 311220x3'!A40</f>
        <v>159210</v>
      </c>
      <c r="B39" s="208" t="str">
        <f>+'BP 311220x3'!B40</f>
        <v>Dep acumulada maquinaria</v>
      </c>
      <c r="C39" s="253">
        <f>+IFERROR((VLOOKUP((A39),'BP 311220x3'!A:F,6,0)),0)</f>
        <v>-577685727</v>
      </c>
      <c r="D39" s="253">
        <f>+IFERROR((VLOOKUP((A39),'BP 311220x2'!A:F,6,0)),0)</f>
        <v>-495159194</v>
      </c>
      <c r="E39" s="253">
        <f>+IFERROR((VLOOKUP((A39),'BP 010120x1'!A:C,3,0)),0)</f>
        <v>-412632662</v>
      </c>
      <c r="F39" s="122"/>
      <c r="K39" s="254"/>
    </row>
    <row r="40" spans="1:23" x14ac:dyDescent="0.2">
      <c r="A40" s="208">
        <f>+'BP 311220x3'!A41</f>
        <v>159215</v>
      </c>
      <c r="B40" s="208" t="str">
        <f>+'BP 311220x3'!B41</f>
        <v>Dep acumulada enseres</v>
      </c>
      <c r="C40" s="253">
        <f>+IFERROR((VLOOKUP((A40),'BP 311220x3'!A:F,6,0)),0)</f>
        <v>-348040759</v>
      </c>
      <c r="D40" s="253">
        <f>+IFERROR((VLOOKUP((A40),'BP 311220x2'!A:F,6,0)),0)</f>
        <v>-304535664</v>
      </c>
      <c r="E40" s="253">
        <f>+IFERROR((VLOOKUP((A40),'BP 010120x1'!A:C,3,0)),0)</f>
        <v>-261030569</v>
      </c>
      <c r="F40" s="122"/>
      <c r="K40" s="254"/>
    </row>
    <row r="41" spans="1:23" x14ac:dyDescent="0.2">
      <c r="A41" s="208">
        <f>+'BP 311220x3'!A42</f>
        <v>159220</v>
      </c>
      <c r="B41" s="208" t="str">
        <f>+'BP 311220x3'!B42</f>
        <v>Dep acumulada tractomula</v>
      </c>
      <c r="C41" s="253">
        <f>+IFERROR((VLOOKUP((A41),'BP 311220x3'!A:F,6,0)),0)</f>
        <v>-245000000</v>
      </c>
      <c r="D41" s="253">
        <f>+IFERROR((VLOOKUP((A41),'BP 311220x2'!A:F,6,0)),0)</f>
        <v>-245000000</v>
      </c>
      <c r="E41" s="253">
        <f>+IFERROR((VLOOKUP((A41),'BP 010120x1'!A:C,3,0)),0)</f>
        <v>-245000000</v>
      </c>
      <c r="K41" s="254"/>
      <c r="L41" s="257"/>
    </row>
    <row r="42" spans="1:23" x14ac:dyDescent="0.2">
      <c r="A42" s="208">
        <f>+'BP 311220x3'!A43</f>
        <v>159298</v>
      </c>
      <c r="B42" s="208" t="str">
        <f>+'BP 311220x3'!B43</f>
        <v>Dep acumulada tractomula ajuste NIIF</v>
      </c>
      <c r="C42" s="253">
        <f>+IFERROR((VLOOKUP((A42),'BP 311220x3'!A:F,6,0)),0)</f>
        <v>145952381</v>
      </c>
      <c r="D42" s="253">
        <f>+IFERROR((VLOOKUP((A42),'BP 311220x2'!A:F,6,0)),0)</f>
        <v>152142857</v>
      </c>
      <c r="E42" s="253">
        <f>+IFERROR((VLOOKUP((A42),'BP 010120x1'!A:C,3,0)),0)</f>
        <v>158333333</v>
      </c>
      <c r="F42" s="122"/>
      <c r="K42" s="254"/>
      <c r="L42" s="254"/>
      <c r="W42" s="255"/>
    </row>
    <row r="43" spans="1:23" x14ac:dyDescent="0.2">
      <c r="A43" s="208">
        <f>+'BP 311220x3'!A44</f>
        <v>161010</v>
      </c>
      <c r="B43" s="208" t="str">
        <f>+'BP 311220x3'!B44</f>
        <v>Programa de contabilidad</v>
      </c>
      <c r="C43" s="253">
        <f>+IFERROR((VLOOKUP((A43),'BP 311220x3'!A:F,6,0)),0)</f>
        <v>65000000</v>
      </c>
      <c r="D43" s="253">
        <f>+IFERROR((VLOOKUP((A43),'BP 311220x2'!A:F,6,0)),0)</f>
        <v>65000000</v>
      </c>
      <c r="E43" s="253">
        <f>+IFERROR((VLOOKUP((A43),'BP 010120x1'!A:C,3,0)),0)</f>
        <v>65000000</v>
      </c>
      <c r="F43" s="122"/>
      <c r="K43" s="254"/>
      <c r="L43" s="254"/>
      <c r="W43" s="255"/>
    </row>
    <row r="44" spans="1:23" x14ac:dyDescent="0.2">
      <c r="A44" s="208">
        <f>+'BP 311220x3'!A45</f>
        <v>161098</v>
      </c>
      <c r="B44" s="208" t="str">
        <f>+'BP 311220x3'!B45</f>
        <v>Amortización</v>
      </c>
      <c r="C44" s="253">
        <f>+IFERROR((VLOOKUP((A44),'BP 311220x3'!A:F,6,0)),0)</f>
        <v>-65000000</v>
      </c>
      <c r="D44" s="253">
        <f>+IFERROR((VLOOKUP((A44),'BP 311220x2'!A:F,6,0)),0)</f>
        <v>-52000000</v>
      </c>
      <c r="E44" s="253">
        <f>+IFERROR((VLOOKUP((A44),'BP 010120x1'!A:C,3,0)),0)</f>
        <v>-39000000</v>
      </c>
      <c r="F44" s="122"/>
      <c r="K44" s="254"/>
      <c r="L44" s="257"/>
      <c r="W44" s="255"/>
    </row>
    <row r="45" spans="1:23" x14ac:dyDescent="0.2">
      <c r="A45" s="208">
        <f>+'BP 311220x3'!A46</f>
        <v>170545</v>
      </c>
      <c r="B45" s="208" t="str">
        <f>+'BP 311220x3'!B46</f>
        <v>Suscripciones a revistas</v>
      </c>
      <c r="C45" s="253">
        <f>+IFERROR((VLOOKUP((A45),'BP 311220x3'!A:F,6,0)),0)</f>
        <v>12123000</v>
      </c>
      <c r="D45" s="253">
        <f>+IFERROR((VLOOKUP((A45),'BP 311220x2'!A:F,6,0)),0)</f>
        <v>7326000</v>
      </c>
      <c r="E45" s="253">
        <f>+IFERROR((VLOOKUP((A45),'BP 010120x1'!A:C,3,0)),0)</f>
        <v>13526000</v>
      </c>
      <c r="F45" s="122"/>
      <c r="K45" s="254"/>
      <c r="W45" s="255"/>
    </row>
    <row r="46" spans="1:23" x14ac:dyDescent="0.2">
      <c r="A46" s="208">
        <f>+'BP 311220x3'!A47</f>
        <v>170525</v>
      </c>
      <c r="B46" s="208" t="str">
        <f>+'BP 311220x3'!B47</f>
        <v>Arrendamientos</v>
      </c>
      <c r="C46" s="253">
        <f>+IFERROR((VLOOKUP((A46),'BP 311220x3'!A:F,6,0)),0)</f>
        <v>6543000</v>
      </c>
      <c r="D46" s="253">
        <f>+IFERROR((VLOOKUP((A46),'BP 311220x2'!A:F,6,0)),0)</f>
        <v>8352000</v>
      </c>
      <c r="E46" s="253">
        <f>+IFERROR((VLOOKUP((A46),'BP 010120x1'!A:C,3,0)),0)</f>
        <v>7560000</v>
      </c>
      <c r="F46" s="122"/>
      <c r="K46" s="254"/>
    </row>
    <row r="47" spans="1:23" x14ac:dyDescent="0.2">
      <c r="A47" s="208">
        <f>+'BP 311220x3'!A48</f>
        <v>170520</v>
      </c>
      <c r="B47" s="208" t="str">
        <f>+'BP 311220x3'!B48</f>
        <v>Polizas de seguros</v>
      </c>
      <c r="C47" s="253">
        <f>+IFERROR((VLOOKUP((A47),'BP 311220x3'!A:F,6,0)),0)</f>
        <v>7500000</v>
      </c>
      <c r="D47" s="253">
        <f>+IFERROR((VLOOKUP((A47),'BP 311220x2'!A:F,6,0)),0)</f>
        <v>6500000</v>
      </c>
      <c r="E47" s="253">
        <f>+IFERROR((VLOOKUP((A47),'BP 010120x1'!A:C,3,0)),0)</f>
        <v>5500000</v>
      </c>
      <c r="F47" s="122"/>
      <c r="K47" s="254"/>
      <c r="W47" s="258"/>
    </row>
    <row r="48" spans="1:23" x14ac:dyDescent="0.2">
      <c r="A48" s="208">
        <f>+'BP 311220x3'!A49</f>
        <v>192010</v>
      </c>
      <c r="B48" s="208" t="str">
        <f>+'BP 311220x3'!B49</f>
        <v>Propiedades de inversión</v>
      </c>
      <c r="C48" s="253">
        <f>+IFERROR((VLOOKUP((A48),'BP 311220x3'!A:F,6,0)),0)</f>
        <v>700000000</v>
      </c>
      <c r="D48" s="253">
        <f>+IFERROR((VLOOKUP((A48),'BP 311220x2'!A:F,6,0)),0)</f>
        <v>700000000</v>
      </c>
      <c r="E48" s="253">
        <f>+IFERROR((VLOOKUP((A48),'BP 010120x1'!A:C,3,0)),0)</f>
        <v>350000000</v>
      </c>
      <c r="F48" s="122"/>
      <c r="K48" s="254"/>
      <c r="W48" s="255"/>
    </row>
    <row r="49" spans="1:11" x14ac:dyDescent="0.2">
      <c r="A49" s="208">
        <f>+'BP 311220x3'!A50</f>
        <v>192097</v>
      </c>
      <c r="B49" s="208" t="str">
        <f>+'BP 311220x3'!B50</f>
        <v>Propiedades de inversión ajuste NIIF</v>
      </c>
      <c r="C49" s="253">
        <f>+IFERROR((VLOOKUP((A49),'BP 311220x3'!A:F,6,0)),0)</f>
        <v>1192000000</v>
      </c>
      <c r="D49" s="253">
        <f>+IFERROR((VLOOKUP((A49),'BP 311220x2'!A:F,6,0)),0)</f>
        <v>1145000000</v>
      </c>
      <c r="E49" s="253">
        <f>+IFERROR((VLOOKUP((A49),'BP 010120x1'!A:C,3,0)),0)</f>
        <v>850000000</v>
      </c>
      <c r="F49" s="122"/>
      <c r="K49" s="254"/>
    </row>
    <row r="50" spans="1:11" x14ac:dyDescent="0.2">
      <c r="A50" s="208">
        <f>+'BP 311220x3'!A51</f>
        <v>172065</v>
      </c>
      <c r="B50" s="208" t="str">
        <f>+'BP 311220x3'!B51</f>
        <v>Activo x impuestos diferidos</v>
      </c>
      <c r="C50" s="253">
        <f>+IFERROR((VLOOKUP((A50),'BP 311220x3'!A:F,6,0)),0)</f>
        <v>0</v>
      </c>
      <c r="D50" s="253">
        <f>+IFERROR((VLOOKUP((A50),'BP 311220x2'!A:F,6,0)),0)</f>
        <v>0</v>
      </c>
      <c r="E50" s="253">
        <f>+IFERROR((VLOOKUP((A50),'BP 010120x1'!A:C,3,0)),0)</f>
        <v>0</v>
      </c>
      <c r="F50" s="24"/>
      <c r="K50" s="254"/>
    </row>
    <row r="51" spans="1:11" x14ac:dyDescent="0.2">
      <c r="B51" s="259" t="s">
        <v>54</v>
      </c>
      <c r="C51" s="260">
        <f>SUM(C6:C50)</f>
        <v>24781741580</v>
      </c>
      <c r="D51" s="260">
        <f>SUM(D6:D50)</f>
        <v>20371171438</v>
      </c>
      <c r="E51" s="260">
        <f>SUM(E6:E50)</f>
        <v>15230021079</v>
      </c>
    </row>
    <row r="53" spans="1:11" x14ac:dyDescent="0.2">
      <c r="B53" s="204" t="s">
        <v>17</v>
      </c>
      <c r="C53" s="261"/>
      <c r="D53" s="205"/>
      <c r="E53" s="253"/>
    </row>
    <row r="54" spans="1:11" x14ac:dyDescent="0.2">
      <c r="A54" s="208">
        <f>+'BP 311220x3'!A55</f>
        <v>210510</v>
      </c>
      <c r="B54" s="208" t="str">
        <f>+'BP 311220x3'!B55</f>
        <v>Obligaciones financieras</v>
      </c>
      <c r="C54" s="253">
        <f>+IFERROR((VLOOKUP((A54),'BP 311220x3'!A:F,6,0)),0)</f>
        <v>1414550974.1461334</v>
      </c>
      <c r="D54" s="253">
        <f>+IFERROR((VLOOKUP((A54),'BP 311220x2'!A:F,6,0)),0)</f>
        <v>1999891090.1461334</v>
      </c>
      <c r="E54" s="253">
        <f>+IFERROR((VLOOKUP((A54),'BP 010120x1'!A:C,3,0)),0)</f>
        <v>2516527734.1461334</v>
      </c>
      <c r="K54" s="254"/>
    </row>
    <row r="55" spans="1:11" x14ac:dyDescent="0.2">
      <c r="A55" s="208">
        <f>+'BP 311220x3'!A56</f>
        <v>220505</v>
      </c>
      <c r="B55" s="208" t="str">
        <f>+'BP 311220x3'!B56</f>
        <v>Proveedores</v>
      </c>
      <c r="C55" s="253">
        <f>+IFERROR((VLOOKUP((A55),'BP 311220x3'!A:F,6,0)),0)</f>
        <v>324657000</v>
      </c>
      <c r="D55" s="253">
        <f>+IFERROR((VLOOKUP((A55),'BP 311220x2'!A:F,6,0)),0)</f>
        <v>612345768</v>
      </c>
      <c r="E55" s="253">
        <f>+IFERROR((VLOOKUP((A55),'BP 010120x1'!A:C,3,0)),0)</f>
        <v>652000000</v>
      </c>
      <c r="H55" s="122"/>
      <c r="K55" s="254"/>
    </row>
    <row r="56" spans="1:11" x14ac:dyDescent="0.2">
      <c r="A56" s="208">
        <f>+'BP 311220x3'!A57</f>
        <v>236595</v>
      </c>
      <c r="B56" s="208" t="str">
        <f>+'BP 311220x3'!B57</f>
        <v>Retención en la fuente</v>
      </c>
      <c r="C56" s="253">
        <f>+IFERROR((VLOOKUP((A56),'BP 311220x3'!A:F,6,0)),0)</f>
        <v>11432000</v>
      </c>
      <c r="D56" s="253">
        <f>+IFERROR((VLOOKUP((A56),'BP 311220x2'!A:F,6,0)),0)</f>
        <v>12543000</v>
      </c>
      <c r="E56" s="253">
        <f>+IFERROR((VLOOKUP((A56),'BP 010120x1'!A:C,3,0)),0)</f>
        <v>26500000</v>
      </c>
      <c r="K56" s="254"/>
    </row>
    <row r="57" spans="1:11" x14ac:dyDescent="0.2">
      <c r="A57" s="208">
        <f>+'BP 311220x3'!A58</f>
        <v>237010</v>
      </c>
      <c r="B57" s="208" t="str">
        <f>+'BP 311220x3'!B58</f>
        <v>Parafiscales por pagar</v>
      </c>
      <c r="C57" s="253">
        <f>+IFERROR((VLOOKUP((A57),'BP 311220x3'!A:F,6,0)),0)</f>
        <v>36765000</v>
      </c>
      <c r="D57" s="253">
        <f>+IFERROR((VLOOKUP((A57),'BP 311220x2'!A:F,6,0)),0)</f>
        <v>37876000</v>
      </c>
      <c r="E57" s="253">
        <f>+IFERROR((VLOOKUP((A57),'BP 010120x1'!A:C,3,0)),0)</f>
        <v>36250000</v>
      </c>
      <c r="K57" s="254"/>
    </row>
    <row r="58" spans="1:11" x14ac:dyDescent="0.2">
      <c r="A58" s="208">
        <f>+'BP 311220x3'!A59</f>
        <v>237005</v>
      </c>
      <c r="B58" s="208" t="str">
        <f>+'BP 311220x3'!B59</f>
        <v>Aportes salud y ARL</v>
      </c>
      <c r="C58" s="253">
        <f>+IFERROR((VLOOKUP((A58),'BP 311220x3'!A:F,6,0)),0)</f>
        <v>56765000</v>
      </c>
      <c r="D58" s="253">
        <f>+IFERROR((VLOOKUP((A58),'BP 311220x2'!A:F,6,0)),0)</f>
        <v>58765000</v>
      </c>
      <c r="E58" s="253">
        <f>+IFERROR((VLOOKUP((A58),'BP 010120x1'!A:C,3,0)),0)</f>
        <v>63250000</v>
      </c>
      <c r="K58" s="254"/>
    </row>
    <row r="59" spans="1:11" x14ac:dyDescent="0.2">
      <c r="A59" s="208">
        <f>+'BP 311220x3'!A60</f>
        <v>237045</v>
      </c>
      <c r="B59" s="208" t="str">
        <f>+'BP 311220x3'!B60</f>
        <v>Aportes pensión</v>
      </c>
      <c r="C59" s="253">
        <f>+IFERROR((VLOOKUP((A59),'BP 311220x3'!A:F,6,0)),0)</f>
        <v>170654000</v>
      </c>
      <c r="D59" s="253">
        <f>+IFERROR((VLOOKUP((A59),'BP 311220x2'!A:F,6,0)),0)</f>
        <v>174654000</v>
      </c>
      <c r="E59" s="253">
        <f>+IFERROR((VLOOKUP((A59),'BP 010120x1'!A:C,3,0)),0)</f>
        <v>176523000</v>
      </c>
      <c r="K59" s="254"/>
    </row>
    <row r="60" spans="1:11" x14ac:dyDescent="0.2">
      <c r="A60" s="208">
        <f>+'BP 311220x3'!A61</f>
        <v>240404</v>
      </c>
      <c r="B60" s="208" t="str">
        <f>+'BP 311220x3'!B61</f>
        <v>Impuesto de renta por pagar</v>
      </c>
      <c r="C60" s="253">
        <f>+IFERROR((VLOOKUP((A60),'BP 311220x3'!A:F,6,0)),0)</f>
        <v>1735037000</v>
      </c>
      <c r="D60" s="253">
        <f>+IFERROR((VLOOKUP((A60),'BP 311220x2'!A:F,6,0)),0)</f>
        <v>1148433000</v>
      </c>
      <c r="E60" s="253">
        <f>+IFERROR((VLOOKUP((A60),'BP 010120x1'!A:C,3,0)),0)</f>
        <v>125600000</v>
      </c>
      <c r="K60" s="254"/>
    </row>
    <row r="61" spans="1:11" x14ac:dyDescent="0.2">
      <c r="A61" s="208">
        <f>+'BP 311220x3'!A62</f>
        <v>240801</v>
      </c>
      <c r="B61" s="208" t="str">
        <f>+'BP 311220x3'!B62</f>
        <v>Impuesto sobre las ventas - IVA</v>
      </c>
      <c r="C61" s="253">
        <f>+IFERROR((VLOOKUP((A61),'BP 311220x3'!A:F,6,0)),0)</f>
        <v>415174000</v>
      </c>
      <c r="D61" s="253">
        <f>+IFERROR((VLOOKUP((A61),'BP 311220x2'!A:F,6,0)),0)</f>
        <v>482250000</v>
      </c>
      <c r="E61" s="253">
        <f>+IFERROR((VLOOKUP((A61),'BP 010120x1'!A:C,3,0)),0)</f>
        <v>0</v>
      </c>
      <c r="K61" s="254"/>
    </row>
    <row r="62" spans="1:11" x14ac:dyDescent="0.2">
      <c r="A62" s="208">
        <f>+'BP 311220x3'!A63</f>
        <v>241205</v>
      </c>
      <c r="B62" s="208" t="str">
        <f>+'BP 311220x3'!B63</f>
        <v>Industria y comercio por pagar</v>
      </c>
      <c r="C62" s="253">
        <f>+IFERROR((VLOOKUP((A62),'BP 311220x3'!A:F,6,0)),0)</f>
        <v>289426370.51999998</v>
      </c>
      <c r="D62" s="253">
        <f>+IFERROR((VLOOKUP((A62),'BP 311220x2'!A:F,6,0)),0)</f>
        <v>263254320</v>
      </c>
      <c r="E62" s="253">
        <f>+IFERROR((VLOOKUP((A62),'BP 010120x1'!A:C,3,0)),0)</f>
        <v>140000000</v>
      </c>
      <c r="K62" s="254"/>
    </row>
    <row r="63" spans="1:11" x14ac:dyDescent="0.2">
      <c r="A63" s="208">
        <f>+'BP 311220x3'!A64</f>
        <v>250505</v>
      </c>
      <c r="B63" s="208" t="str">
        <f>+'BP 311220x3'!B64</f>
        <v>Pasivos laborales</v>
      </c>
      <c r="C63" s="253">
        <f>+IFERROR((VLOOKUP((A63),'BP 311220x3'!A:F,6,0)),0)</f>
        <v>90319513</v>
      </c>
      <c r="D63" s="253">
        <f>+IFERROR((VLOOKUP((A63),'BP 311220x2'!A:F,6,0)),0)</f>
        <v>75453678</v>
      </c>
      <c r="E63" s="253">
        <f>+IFERROR((VLOOKUP((A63),'BP 010120x1'!A:C,3,0)),0)</f>
        <v>69622638</v>
      </c>
      <c r="K63" s="254"/>
    </row>
    <row r="64" spans="1:11" x14ac:dyDescent="0.2">
      <c r="A64" s="208">
        <f>+'BP 311220x3'!A65</f>
        <v>263505</v>
      </c>
      <c r="B64" s="208" t="str">
        <f>+'BP 311220x3'!B65</f>
        <v xml:space="preserve">Litigios y demandas </v>
      </c>
      <c r="C64" s="253">
        <f>+IFERROR((VLOOKUP((A64),'BP 311220x3'!A:F,6,0)),0)</f>
        <v>197067140</v>
      </c>
      <c r="D64" s="253">
        <f>+IFERROR((VLOOKUP((A64),'BP 311220x2'!A:F,6,0)),0)</f>
        <v>139385828</v>
      </c>
      <c r="E64" s="253">
        <f>+IFERROR((VLOOKUP((A64),'BP 010120x1'!A:C,3,0)),0)</f>
        <v>135078737</v>
      </c>
      <c r="K64" s="254"/>
    </row>
    <row r="65" spans="1:18" x14ac:dyDescent="0.2">
      <c r="A65" s="208">
        <f>+'BP 311220x3'!A66</f>
        <v>264005</v>
      </c>
      <c r="B65" s="208" t="str">
        <f>+'BP 311220x3'!B66</f>
        <v>Garantías</v>
      </c>
      <c r="C65" s="253">
        <f>+IFERROR((VLOOKUP((A65),'BP 311220x3'!A:F,6,0)),0)</f>
        <v>165743000</v>
      </c>
      <c r="D65" s="253">
        <f>+IFERROR((VLOOKUP((A65),'BP 311220x2'!A:F,6,0)),0)</f>
        <v>129560000</v>
      </c>
      <c r="E65" s="253">
        <f>+IFERROR((VLOOKUP((A65),'BP 010120x1'!A:C,3,0)),0)</f>
        <v>126000000</v>
      </c>
      <c r="K65" s="254"/>
    </row>
    <row r="66" spans="1:18" x14ac:dyDescent="0.2">
      <c r="A66" s="208">
        <f>+'BP 311220x3'!A67</f>
        <v>210595</v>
      </c>
      <c r="B66" s="208" t="str">
        <f>+'BP 311220x3'!B67</f>
        <v>Derivados financieros</v>
      </c>
      <c r="C66" s="253">
        <f>+IFERROR((VLOOKUP((A66),'BP 311220x3'!A:F,6,0)),0)</f>
        <v>37700100</v>
      </c>
      <c r="D66" s="253">
        <f>+IFERROR((VLOOKUP((A66),'BP 311220x2'!A:F,6,0)),0)</f>
        <v>5052000</v>
      </c>
      <c r="E66" s="253">
        <f>+IFERROR((VLOOKUP((A66),'BP 010120x1'!A:C,3,0)),0)</f>
        <v>10052000</v>
      </c>
      <c r="F66" s="122"/>
      <c r="K66" s="254"/>
    </row>
    <row r="67" spans="1:18" x14ac:dyDescent="0.2">
      <c r="A67" s="208">
        <f>+'BP 311220x3'!A68</f>
        <v>271095</v>
      </c>
      <c r="B67" s="208" t="str">
        <f>+'BP 311220x3'!B68</f>
        <v>Pasivos x impuestos diferidos</v>
      </c>
      <c r="C67" s="253">
        <f>+IFERROR((VLOOKUP((A67),'BP 311220x3'!A:F,6,0)),0)</f>
        <v>0</v>
      </c>
      <c r="D67" s="253">
        <f>+IFERROR((VLOOKUP((A67),'BP 311220x2'!A:F,6,0)),0)</f>
        <v>848838343.1909194</v>
      </c>
      <c r="E67" s="253">
        <f>+IFERROR((VLOOKUP((A67),'BP 010120x1'!A:C,3,0)),0)</f>
        <v>558693552.59722829</v>
      </c>
      <c r="K67" s="254"/>
    </row>
    <row r="68" spans="1:18" x14ac:dyDescent="0.2">
      <c r="B68" s="204" t="s">
        <v>55</v>
      </c>
      <c r="C68" s="260">
        <f>SUM(C54:C67)</f>
        <v>4945291097.6661339</v>
      </c>
      <c r="D68" s="260">
        <f>SUM(D54:D67)</f>
        <v>5988302027.3370533</v>
      </c>
      <c r="E68" s="260">
        <f>SUM(E54:E67)</f>
        <v>4636097661.7433615</v>
      </c>
      <c r="R68" s="255"/>
    </row>
    <row r="69" spans="1:18" x14ac:dyDescent="0.2">
      <c r="C69" s="185"/>
      <c r="D69" s="185"/>
      <c r="E69" s="185"/>
      <c r="H69" s="122"/>
      <c r="R69" s="255"/>
    </row>
    <row r="70" spans="1:18" x14ac:dyDescent="0.2">
      <c r="B70" s="204" t="s">
        <v>19</v>
      </c>
      <c r="C70" s="260">
        <f>SUM(C71:C77)</f>
        <v>19836450482.337227</v>
      </c>
      <c r="D70" s="260">
        <f>SUM(D71:D77)</f>
        <v>14382869410.666307</v>
      </c>
      <c r="E70" s="260">
        <f>SUM(E71:E77)</f>
        <v>10593923417.26</v>
      </c>
      <c r="H70" s="122"/>
      <c r="K70" s="254"/>
      <c r="R70" s="255"/>
    </row>
    <row r="71" spans="1:18" x14ac:dyDescent="0.2">
      <c r="A71" s="208">
        <f>+'BP 311220x3'!A72</f>
        <v>310505</v>
      </c>
      <c r="B71" s="208" t="str">
        <f>+'BP 311220x3'!B72</f>
        <v>Capital suscrito y pagado</v>
      </c>
      <c r="C71" s="253">
        <f>+IFERROR((VLOOKUP((A71),'BP 311220x3'!A:F,6,0)),0)</f>
        <v>8500000000</v>
      </c>
      <c r="D71" s="253">
        <f>+IFERROR((VLOOKUP((A71),'BP 311220x2'!A:F,6,0)),0)</f>
        <v>8500000000</v>
      </c>
      <c r="E71" s="253">
        <f>+IFERROR((VLOOKUP((A71),'BP 010120x1'!A:C,3,0)),0)</f>
        <v>8500000000</v>
      </c>
      <c r="H71" s="122"/>
      <c r="K71" s="254"/>
      <c r="R71" s="255"/>
    </row>
    <row r="72" spans="1:18" x14ac:dyDescent="0.2">
      <c r="A72" s="208">
        <f>+'BP 311220x3'!A73</f>
        <v>330505</v>
      </c>
      <c r="B72" s="208" t="str">
        <f>+'BP 311220x3'!B73</f>
        <v>Reservas</v>
      </c>
      <c r="C72" s="253">
        <f>+IFERROR((VLOOKUP((A72),'BP 311220x3'!A:F,6,0)),0)</f>
        <v>1149860138.3406308</v>
      </c>
      <c r="D72" s="253">
        <f>+IFERROR((VLOOKUP((A72),'BP 311220x2'!A:F,6,0)),0)</f>
        <v>770965539</v>
      </c>
      <c r="E72" s="253">
        <f>+IFERROR((VLOOKUP((A72),'BP 010120x1'!A:C,3,0)),0)</f>
        <v>650256000</v>
      </c>
      <c r="K72" s="254"/>
      <c r="R72" s="255"/>
    </row>
    <row r="73" spans="1:18" x14ac:dyDescent="0.2">
      <c r="A73" s="208">
        <f>+'BP 311220x3'!A74</f>
        <v>360505</v>
      </c>
      <c r="B73" s="208" t="str">
        <f>+'BP 311220x3'!B74</f>
        <v>Utilidad  del ejercicio</v>
      </c>
      <c r="C73" s="253">
        <f>+IFERROR((VLOOKUP((A73),'BP 311220x3'!A:F,6,0)),0)</f>
        <v>5453581071.6709175</v>
      </c>
      <c r="D73" s="253">
        <f>+IFERROR((VLOOKUP((A73),'BP 311220x2'!A:F,6,0)),0)</f>
        <v>3788945993.4063072</v>
      </c>
      <c r="E73" s="253">
        <f>+IFERROR((VLOOKUP((A73),'BP 010120x1'!A:C,3,0)),0)</f>
        <v>1207095389</v>
      </c>
      <c r="K73" s="254"/>
    </row>
    <row r="74" spans="1:18" x14ac:dyDescent="0.2">
      <c r="A74" s="208">
        <f>+'BP 311220x3'!A75</f>
        <v>370505</v>
      </c>
      <c r="B74" s="208" t="str">
        <f>+'BP 311220x3'!B75</f>
        <v>Resultados de ejercicios anteriores</v>
      </c>
      <c r="C74" s="253">
        <f>+IFERROR((VLOOKUP((A74),'BP 311220x3'!A:F,6,0)),0)</f>
        <v>4581009272.3256769</v>
      </c>
      <c r="D74" s="253">
        <f>+IFERROR((VLOOKUP((A74),'BP 311220x2'!A:F,6,0)),0)</f>
        <v>1170957878.26</v>
      </c>
      <c r="E74" s="253">
        <f>+IFERROR((VLOOKUP((A74),'BP 010120x1'!A:C,3,0)),0)</f>
        <v>84572028.260000005</v>
      </c>
      <c r="K74" s="254"/>
    </row>
    <row r="75" spans="1:18" x14ac:dyDescent="0.2">
      <c r="A75" s="208">
        <f>+'BP 311220x3'!A76</f>
        <v>370506</v>
      </c>
      <c r="B75" s="208" t="str">
        <f>+'BP 311220x3'!B76</f>
        <v>Revalorización patrimonio</v>
      </c>
      <c r="C75" s="253">
        <f>+IFERROR((VLOOKUP((A75),'BP 311220x3'!A:F,6,0)),0)</f>
        <v>152000000</v>
      </c>
      <c r="D75" s="253">
        <f>+IFERROR((VLOOKUP((A75),'BP 311220x2'!A:F,6,0)),0)</f>
        <v>152000000</v>
      </c>
      <c r="E75" s="253">
        <f>+IFERROR((VLOOKUP((A75),'BP 010120x1'!A:C,3,0)),0)</f>
        <v>152000000</v>
      </c>
      <c r="K75" s="254"/>
    </row>
    <row r="76" spans="1:18" x14ac:dyDescent="0.2">
      <c r="A76" s="208">
        <f>+'BP 311220x3'!A77</f>
        <v>381005</v>
      </c>
      <c r="B76" s="208" t="str">
        <f>+'BP 311220x3'!B77</f>
        <v>ORI - participación en ORI de asociadas</v>
      </c>
      <c r="C76" s="253">
        <f>+IFERROR((VLOOKUP((A76),'BP 311220x3'!A:F,6,0)),0)</f>
        <v>0</v>
      </c>
      <c r="D76" s="253">
        <f>+IFERROR((VLOOKUP((A76),'BP 311220x2'!A:F,6,0)),0)</f>
        <v>0</v>
      </c>
      <c r="E76" s="253">
        <f>+IFERROR((VLOOKUP((A76),'BP 010120x1'!A:C,3,0)),0)</f>
        <v>0</v>
      </c>
      <c r="K76" s="254"/>
    </row>
    <row r="77" spans="1:18" x14ac:dyDescent="0.2">
      <c r="D77" s="213"/>
    </row>
    <row r="78" spans="1:18" x14ac:dyDescent="0.2">
      <c r="B78" s="204" t="s">
        <v>56</v>
      </c>
      <c r="C78" s="260">
        <f>+C68+C70</f>
        <v>24781741580.003361</v>
      </c>
      <c r="D78" s="260">
        <f>+D68+D70</f>
        <v>20371171438.003361</v>
      </c>
      <c r="E78" s="260">
        <f>+E68+E70</f>
        <v>15230021079.003361</v>
      </c>
    </row>
    <row r="80" spans="1:18" x14ac:dyDescent="0.2">
      <c r="B80" s="254"/>
      <c r="C80" s="252">
        <f>+C78-C51</f>
        <v>3.360748291015625E-3</v>
      </c>
      <c r="D80" s="252">
        <f>+D78-D51</f>
        <v>3.360748291015625E-3</v>
      </c>
      <c r="E80" s="252">
        <f>+E78-E51</f>
        <v>3.360748291015625E-3</v>
      </c>
    </row>
    <row r="82" spans="1:9" x14ac:dyDescent="0.2">
      <c r="C82" s="205" t="s">
        <v>169</v>
      </c>
      <c r="D82" s="205" t="s">
        <v>168</v>
      </c>
      <c r="E82" s="205" t="str">
        <f>+E4</f>
        <v>Dic de 2021</v>
      </c>
    </row>
    <row r="83" spans="1:9" x14ac:dyDescent="0.2">
      <c r="B83" s="33" t="s">
        <v>178</v>
      </c>
      <c r="C83" s="185"/>
      <c r="D83" s="185"/>
      <c r="E83" s="185"/>
      <c r="F83" s="95"/>
      <c r="G83" s="95"/>
      <c r="H83" s="95"/>
      <c r="I83" s="95"/>
    </row>
    <row r="84" spans="1:9" x14ac:dyDescent="0.2">
      <c r="B84" s="204" t="s">
        <v>179</v>
      </c>
      <c r="C84" s="260">
        <f>SUM(C85:C100)</f>
        <v>30143902715</v>
      </c>
      <c r="D84" s="260">
        <f>SUM(D85:D100)</f>
        <v>28353273022.419998</v>
      </c>
      <c r="E84" s="260">
        <f>SUM(E85:E100)</f>
        <v>0</v>
      </c>
    </row>
    <row r="85" spans="1:9" x14ac:dyDescent="0.2">
      <c r="A85" s="208">
        <f>+'BP 311220x3'!A86</f>
        <v>412005</v>
      </c>
      <c r="B85" s="208" t="str">
        <f>+'BP 311220x3'!B86</f>
        <v>Venta de gaseosas</v>
      </c>
      <c r="C85" s="253">
        <f>+IFERROR((VLOOKUP((A85),'BP 311220x3'!A:F,6,0)),0)</f>
        <v>28976000000</v>
      </c>
      <c r="D85" s="253">
        <f>+IFERROR((VLOOKUP((A85),'BP 311220x2'!A:F,6,0)),0)</f>
        <v>26536000000</v>
      </c>
      <c r="E85" s="253">
        <f>+IFERROR((VLOOKUP((A85),'BP 010120x1'!A:C,3,0)),0)</f>
        <v>0</v>
      </c>
    </row>
    <row r="86" spans="1:9" x14ac:dyDescent="0.2">
      <c r="A86" s="208">
        <f>+'BP 311220x3'!A87</f>
        <v>410505</v>
      </c>
      <c r="B86" s="208" t="str">
        <f>+'BP 311220x3'!B87</f>
        <v>Venta de ganado y productos agropecuarios</v>
      </c>
      <c r="C86" s="253">
        <f>+IFERROR((VLOOKUP((A86),'BP 311220x3'!A:F,6,0)),0)</f>
        <v>516000000</v>
      </c>
      <c r="D86" s="253">
        <f>+IFERROR((VLOOKUP((A86),'BP 311220x2'!A:F,6,0)),0)</f>
        <v>426000000</v>
      </c>
      <c r="E86" s="253">
        <f>+IFERROR((VLOOKUP((A86),'BP 010120x1'!A:C,3,0)),0)</f>
        <v>0</v>
      </c>
    </row>
    <row r="87" spans="1:9" x14ac:dyDescent="0.2">
      <c r="A87" s="208">
        <f>+'BP 311220x3'!A88</f>
        <v>410595</v>
      </c>
      <c r="B87" s="208" t="str">
        <f>+'BP 311220x3'!B88</f>
        <v>Variación del valor razonable de activos biológicos</v>
      </c>
      <c r="C87" s="253">
        <f>+IFERROR((VLOOKUP((A87),'BP 311220x3'!A:F,6,0)),0)</f>
        <v>134067000</v>
      </c>
      <c r="D87" s="253">
        <f>+IFERROR((VLOOKUP((A87),'BP 311220x2'!A:F,6,0)),0)</f>
        <v>81294000</v>
      </c>
      <c r="E87" s="253">
        <f>+IFERROR((VLOOKUP((A87),'BP 010120x1'!A:C,3,0)),0)</f>
        <v>0</v>
      </c>
    </row>
    <row r="88" spans="1:9" x14ac:dyDescent="0.2">
      <c r="A88" s="208">
        <f>+'BP 311220x3'!A89</f>
        <v>413505</v>
      </c>
      <c r="B88" s="208" t="str">
        <f>+'BP 311220x3'!B89</f>
        <v>Servicios de construcción</v>
      </c>
      <c r="C88" s="253">
        <f>+IFERROR((VLOOKUP((A88),'BP 311220x3'!A:F,6,0)),0)</f>
        <v>615000000</v>
      </c>
      <c r="D88" s="253">
        <f>+IFERROR((VLOOKUP((A88),'BP 311220x2'!A:F,6,0)),0)</f>
        <v>415000000</v>
      </c>
      <c r="E88" s="253">
        <f>+IFERROR((VLOOKUP((A88),'BP 010120x1'!A:C,3,0)),0)</f>
        <v>0</v>
      </c>
    </row>
    <row r="89" spans="1:9" x14ac:dyDescent="0.2">
      <c r="A89" s="208">
        <f>+'BP 311220x3'!A90</f>
        <v>417505</v>
      </c>
      <c r="B89" s="208" t="str">
        <f>+'BP 311220x3'!B90</f>
        <v>Devoluciones en ventas</v>
      </c>
      <c r="C89" s="253">
        <f>+IFERROR((VLOOKUP((A89),'BP 311220x3'!A:F,6,0)),0)</f>
        <v>-145678000</v>
      </c>
      <c r="D89" s="253">
        <f>+IFERROR((VLOOKUP((A89),'BP 311220x2'!A:F,6,0)),0)</f>
        <v>-125000000</v>
      </c>
      <c r="E89" s="253">
        <f>+IFERROR((VLOOKUP((A89),'BP 010120x1'!A:C,3,0)),0)</f>
        <v>0</v>
      </c>
    </row>
    <row r="90" spans="1:9" x14ac:dyDescent="0.2">
      <c r="A90" s="208">
        <f>+'BP 311220x3'!A91</f>
        <v>421005</v>
      </c>
      <c r="B90" s="208" t="str">
        <f>+'BP 311220x3'!B91</f>
        <v>Ingresos financieros</v>
      </c>
      <c r="C90" s="253">
        <f>+IFERROR((VLOOKUP((A90),'BP 311220x3'!A:F,6,0)),0)</f>
        <v>55985000</v>
      </c>
      <c r="D90" s="253">
        <f>+IFERROR((VLOOKUP((A90),'BP 311220x2'!A:F,6,0)),0)</f>
        <v>58465000</v>
      </c>
      <c r="E90" s="253">
        <f>+IFERROR((VLOOKUP((A90),'BP 010120x1'!A:C,3,0)),0)</f>
        <v>0</v>
      </c>
    </row>
    <row r="91" spans="1:9" x14ac:dyDescent="0.2">
      <c r="A91" s="208">
        <f>+'BP 311220x3'!A92</f>
        <v>421095</v>
      </c>
      <c r="B91" s="208" t="str">
        <f>+'BP 311220x3'!B92</f>
        <v>Ingresos forward y swap por liquidación</v>
      </c>
      <c r="C91" s="253">
        <f>+IFERROR((VLOOKUP((A91),'BP 311220x3'!A:F,6,0)),0)</f>
        <v>125326540</v>
      </c>
      <c r="D91" s="253">
        <f>+IFERROR((VLOOKUP((A91),'BP 311220x2'!A:F,6,0)),0)</f>
        <v>-25623500</v>
      </c>
      <c r="E91" s="253">
        <f>+IFERROR((VLOOKUP((A91),'BP 010120x1'!A:C,3,0)),0)</f>
        <v>0</v>
      </c>
    </row>
    <row r="92" spans="1:9" x14ac:dyDescent="0.2">
      <c r="A92" s="208">
        <f>+'BP 311220x3'!A93</f>
        <v>431505</v>
      </c>
      <c r="B92" s="208" t="str">
        <f>+'BP 311220x3'!B93</f>
        <v>Resultado por variación del valor razonable de derivados financieros</v>
      </c>
      <c r="C92" s="253">
        <f>+IFERROR((VLOOKUP((A92),'BP 311220x3'!A:F,6,0)),0)</f>
        <v>-153172776</v>
      </c>
      <c r="D92" s="253">
        <f>+IFERROR((VLOOKUP((A92),'BP 311220x2'!A:F,6,0)),0)</f>
        <v>73160000</v>
      </c>
      <c r="E92" s="253">
        <f>+IFERROR((VLOOKUP((A92),'BP 010120x1'!A:C,3,0)),0)</f>
        <v>0</v>
      </c>
    </row>
    <row r="93" spans="1:9" x14ac:dyDescent="0.2">
      <c r="A93" s="208">
        <f>+'BP 311220x3'!A94</f>
        <v>425005</v>
      </c>
      <c r="B93" s="208" t="str">
        <f>+'BP 311220x3'!B94</f>
        <v>Recuperación de deterioro fiscal</v>
      </c>
      <c r="C93" s="253">
        <f>+IFERROR((VLOOKUP((A93),'BP 311220x3'!A:F,6,0)),0)</f>
        <v>456833344.63999999</v>
      </c>
      <c r="D93" s="253">
        <f>+IFERROR((VLOOKUP((A93),'BP 311220x2'!A:F,6,0)),0)</f>
        <v>0</v>
      </c>
      <c r="E93" s="253">
        <f>+IFERROR((VLOOKUP((A93),'BP 010120x1'!A:C,3,0)),0)</f>
        <v>0</v>
      </c>
    </row>
    <row r="94" spans="1:9" x14ac:dyDescent="0.2">
      <c r="A94" s="208">
        <f>+'BP 311220x3'!A95</f>
        <v>425006</v>
      </c>
      <c r="B94" s="208" t="str">
        <f>+'BP 311220x3'!B95</f>
        <v>Recuperación de deterioro ajuste NIIF</v>
      </c>
      <c r="C94" s="253">
        <f>+IFERROR((VLOOKUP((A94),'BP 311220x3'!A:F,6,0)),0)</f>
        <v>-450459303.63999999</v>
      </c>
      <c r="D94" s="253">
        <f>+IFERROR((VLOOKUP((A94),'BP 311220x2'!A:F,6,0)),0)</f>
        <v>168819462.41999996</v>
      </c>
      <c r="E94" s="253">
        <f>+IFERROR((VLOOKUP((A94),'BP 010120x1'!A:C,3,0)),0)</f>
        <v>0</v>
      </c>
    </row>
    <row r="95" spans="1:9" x14ac:dyDescent="0.2">
      <c r="A95" s="208">
        <f>+'BP 311220x3'!A96</f>
        <v>421020</v>
      </c>
      <c r="B95" s="208" t="str">
        <f>+'BP 311220x3'!B96</f>
        <v>Diferencia en cambio</v>
      </c>
      <c r="C95" s="253">
        <f>+IFERROR((VLOOKUP((A95),'BP 311220x3'!A:F,6,0)),0)</f>
        <v>11634000</v>
      </c>
      <c r="D95" s="253">
        <f>+IFERROR((VLOOKUP((A95),'BP 311220x2'!A:F,6,0)),0)</f>
        <v>12653000</v>
      </c>
      <c r="E95" s="253">
        <f>+IFERROR((VLOOKUP((A95),'BP 010120x1'!A:C,3,0)),0)</f>
        <v>0</v>
      </c>
    </row>
    <row r="96" spans="1:9" x14ac:dyDescent="0.2">
      <c r="A96" s="208">
        <f>+'BP 311220x3'!A97</f>
        <v>430505</v>
      </c>
      <c r="B96" s="208" t="str">
        <f>+'BP 311220x3'!B97</f>
        <v>Resultado por variación del valor razonable de activos financieros</v>
      </c>
      <c r="C96" s="253">
        <f>+IFERROR((VLOOKUP((A96),'BP 311220x3'!A:F,6,0)),0)</f>
        <v>-128978090</v>
      </c>
      <c r="D96" s="253">
        <f>+IFERROR((VLOOKUP((A96),'BP 311220x2'!A:F,6,0)),0)</f>
        <v>363880060</v>
      </c>
      <c r="E96" s="253">
        <f>+IFERROR((VLOOKUP((A96),'BP 010120x1'!A:C,3,0)),0)</f>
        <v>0</v>
      </c>
    </row>
    <row r="97" spans="1:9" x14ac:dyDescent="0.2">
      <c r="A97" s="208">
        <f>+'BP 311220x3'!A98</f>
        <v>431005</v>
      </c>
      <c r="B97" s="208" t="str">
        <f>+'BP 311220x3'!B98</f>
        <v>Resultado por variación del valor razonable de propiedades de inversión</v>
      </c>
      <c r="C97" s="253">
        <f>+IFERROR((VLOOKUP((A97),'BP 311220x3'!A:F,6,0)),0)</f>
        <v>47000000</v>
      </c>
      <c r="D97" s="253">
        <f>+IFERROR((VLOOKUP((A97),'BP 311220x2'!A:F,6,0)),0)</f>
        <v>295000000</v>
      </c>
      <c r="E97" s="253">
        <f>+IFERROR((VLOOKUP((A97),'BP 010120x1'!A:C,3,0)),0)</f>
        <v>0</v>
      </c>
    </row>
    <row r="98" spans="1:9" x14ac:dyDescent="0.2">
      <c r="A98" s="208">
        <f>+'BP 311220x3'!A99</f>
        <v>424505</v>
      </c>
      <c r="B98" s="208" t="str">
        <f>+'BP 311220x3'!B99</f>
        <v>Resultado en venta de propiedades</v>
      </c>
      <c r="C98" s="253">
        <f>+IFERROR((VLOOKUP((A98),'BP 311220x3'!A:F,6,0)),0)</f>
        <v>0</v>
      </c>
      <c r="D98" s="253">
        <f>+IFERROR((VLOOKUP((A98),'BP 311220x2'!A:F,6,0)),0)</f>
        <v>0</v>
      </c>
      <c r="E98" s="253">
        <f>+IFERROR((VLOOKUP((A98),'BP 010120x1'!A:C,3,0)),0)</f>
        <v>0</v>
      </c>
    </row>
    <row r="99" spans="1:9" x14ac:dyDescent="0.2">
      <c r="A99" s="208">
        <f>+'BP 311220x3'!A100</f>
        <v>421505</v>
      </c>
      <c r="B99" s="208" t="str">
        <f>+'BP 311220x3'!B100</f>
        <v>Dividendos</v>
      </c>
      <c r="C99" s="253">
        <f>+IFERROR((VLOOKUP((A99),'BP 311220x3'!A:F,6,0)),0)</f>
        <v>22000000</v>
      </c>
      <c r="D99" s="253">
        <f>+IFERROR((VLOOKUP((A99),'BP 311220x2'!A:F,6,0)),0)</f>
        <v>15000000</v>
      </c>
      <c r="E99" s="253">
        <f>+IFERROR((VLOOKUP((A99),'BP 010120x1'!A:C,3,0)),0)</f>
        <v>0</v>
      </c>
    </row>
    <row r="100" spans="1:9" x14ac:dyDescent="0.2">
      <c r="A100" s="208">
        <f>+'BP 311220x3'!A101</f>
        <v>422005</v>
      </c>
      <c r="B100" s="208" t="str">
        <f>+'BP 311220x3'!B101</f>
        <v>Arrendamientos</v>
      </c>
      <c r="C100" s="253">
        <f>+IFERROR((VLOOKUP((A100),'BP 311220x3'!A:F,6,0)),0)</f>
        <v>62345000</v>
      </c>
      <c r="D100" s="253">
        <f>+IFERROR((VLOOKUP((A100),'BP 311220x2'!A:F,6,0)),0)</f>
        <v>58625000</v>
      </c>
      <c r="E100" s="253">
        <f>+IFERROR((VLOOKUP((A100),'BP 010120x1'!A:C,3,0)),0)</f>
        <v>0</v>
      </c>
    </row>
    <row r="101" spans="1:9" x14ac:dyDescent="0.2">
      <c r="B101" s="33"/>
      <c r="C101" s="185"/>
      <c r="D101" s="185"/>
      <c r="E101" s="185"/>
      <c r="F101" s="95"/>
      <c r="G101" s="95"/>
      <c r="H101" s="95"/>
      <c r="I101" s="95"/>
    </row>
    <row r="102" spans="1:9" x14ac:dyDescent="0.2">
      <c r="B102" s="204" t="s">
        <v>185</v>
      </c>
      <c r="C102" s="260">
        <f>SUM(C103:C136)</f>
        <v>24690321643.329082</v>
      </c>
      <c r="D102" s="260">
        <f>SUM(D103:D136)</f>
        <v>24564327029.013691</v>
      </c>
      <c r="E102" s="260">
        <f>SUM(E103:E136)</f>
        <v>0</v>
      </c>
    </row>
    <row r="103" spans="1:9" x14ac:dyDescent="0.2">
      <c r="A103" s="208">
        <f>+'BP 311220x3'!A104</f>
        <v>612005</v>
      </c>
      <c r="B103" s="208" t="str">
        <f>+'BP 311220x3'!B104</f>
        <v>Costo de venta de bienes</v>
      </c>
      <c r="C103" s="253">
        <f>+IFERROR((VLOOKUP((A103),'BP 311220x3'!A:F,6,0)),0)</f>
        <v>19904463322</v>
      </c>
      <c r="D103" s="253">
        <f>+IFERROR((VLOOKUP((A103),'BP 311220x2'!A:F,6,0)),0)</f>
        <v>19309112532</v>
      </c>
      <c r="E103" s="253">
        <f>+IFERROR((VLOOKUP((A103),'BP 010120x1'!A:C,3,0)),0)</f>
        <v>0</v>
      </c>
    </row>
    <row r="104" spans="1:9" x14ac:dyDescent="0.2">
      <c r="A104" s="208">
        <f>+'BP 311220x3'!A105</f>
        <v>610505</v>
      </c>
      <c r="B104" s="208" t="str">
        <f>+'BP 311220x3'!B105</f>
        <v>Costo productos agropecuarios</v>
      </c>
      <c r="C104" s="253">
        <f>+IFERROR((VLOOKUP((A104),'BP 311220x3'!A:F,6,0)),0)</f>
        <v>274067000</v>
      </c>
      <c r="D104" s="253">
        <f>+IFERROR((VLOOKUP((A104),'BP 311220x2'!A:F,6,0)),0)</f>
        <v>269000000</v>
      </c>
      <c r="E104" s="253">
        <f>+IFERROR((VLOOKUP((A104),'BP 010120x1'!A:C,3,0)),0)</f>
        <v>0</v>
      </c>
    </row>
    <row r="105" spans="1:9" x14ac:dyDescent="0.2">
      <c r="A105" s="208">
        <f>+'BP 311220x3'!A106</f>
        <v>612010</v>
      </c>
      <c r="B105" s="208" t="str">
        <f>+'BP 311220x3'!B106</f>
        <v>Costos por garantías</v>
      </c>
      <c r="C105" s="253">
        <f>+IFERROR((VLOOKUP((A105),'BP 311220x3'!A:F,6,0)),0)</f>
        <v>186000000</v>
      </c>
      <c r="D105" s="253">
        <f>+IFERROR((VLOOKUP((A105),'BP 311220x2'!A:F,6,0)),0)</f>
        <v>165000000</v>
      </c>
      <c r="E105" s="253">
        <f>+IFERROR((VLOOKUP((A105),'BP 010120x1'!A:C,3,0)),0)</f>
        <v>0</v>
      </c>
    </row>
    <row r="106" spans="1:9" x14ac:dyDescent="0.2">
      <c r="A106" s="208">
        <f>+'BP 311220x3'!A107</f>
        <v>619810</v>
      </c>
      <c r="B106" s="208" t="str">
        <f>+'BP 311220x3'!B107</f>
        <v>Descuentos comerciales condicionados</v>
      </c>
      <c r="C106" s="253">
        <f>+IFERROR((VLOOKUP((A106),'BP 311220x3'!A:F,6,0)),0)</f>
        <v>-40125000</v>
      </c>
      <c r="D106" s="253">
        <f>+IFERROR((VLOOKUP((A106),'BP 311220x2'!A:F,6,0)),0)</f>
        <v>-36520000</v>
      </c>
      <c r="E106" s="253">
        <f>+IFERROR((VLOOKUP((A106),'BP 010120x1'!A:C,3,0)),0)</f>
        <v>0</v>
      </c>
    </row>
    <row r="107" spans="1:9" x14ac:dyDescent="0.2">
      <c r="A107" s="208">
        <f>+'BP 311220x3'!A108</f>
        <v>619905</v>
      </c>
      <c r="B107" s="208" t="str">
        <f>+'BP 311220x3'!B108</f>
        <v>Deterioro de inventarios</v>
      </c>
      <c r="C107" s="253">
        <f>+IFERROR((VLOOKUP((A107),'BP 311220x3'!A:F,6,0)),0)</f>
        <v>-25350000</v>
      </c>
      <c r="D107" s="253">
        <f>+IFERROR((VLOOKUP((A107),'BP 311220x2'!A:F,6,0)),0)</f>
        <v>10550000</v>
      </c>
      <c r="E107" s="253">
        <f>+IFERROR((VLOOKUP((A107),'BP 010120x1'!A:C,3,0)),0)</f>
        <v>0</v>
      </c>
    </row>
    <row r="108" spans="1:9" x14ac:dyDescent="0.2">
      <c r="A108" s="208">
        <f>+'BP 311220x3'!A109</f>
        <v>511505</v>
      </c>
      <c r="B108" s="208" t="str">
        <f>+'BP 311220x3'!B109</f>
        <v>Impuesto industria y comercio</v>
      </c>
      <c r="C108" s="253">
        <f>+IFERROR((VLOOKUP((A108),'BP 311220x3'!A:F,6,0)),0)</f>
        <v>289426370.51999998</v>
      </c>
      <c r="D108" s="253">
        <f>+IFERROR((VLOOKUP((A108),'BP 311220x2'!A:F,6,0)),0)</f>
        <v>263254320</v>
      </c>
      <c r="E108" s="253">
        <f>+IFERROR((VLOOKUP((A108),'BP 010120x1'!A:C,3,0)),0)</f>
        <v>0</v>
      </c>
    </row>
    <row r="109" spans="1:9" x14ac:dyDescent="0.2">
      <c r="A109" s="208">
        <f>+'BP 311220x3'!A110</f>
        <v>510505</v>
      </c>
      <c r="B109" s="208" t="str">
        <f>+'BP 311220x3'!B110</f>
        <v>Gastos de personal</v>
      </c>
      <c r="C109" s="253">
        <f>+IFERROR((VLOOKUP((A109),'BP 311220x3'!A:F,6,0)),0)</f>
        <v>325359513</v>
      </c>
      <c r="D109" s="253">
        <f>+IFERROR((VLOOKUP((A109),'BP 311220x2'!A:F,6,0)),0)</f>
        <v>299703678</v>
      </c>
      <c r="E109" s="253">
        <f>+IFERROR((VLOOKUP((A109),'BP 010120x1'!A:C,3,0)),0)</f>
        <v>0</v>
      </c>
    </row>
    <row r="110" spans="1:9" x14ac:dyDescent="0.2">
      <c r="A110" s="208">
        <f>+'BP 311220x3'!A111</f>
        <v>511595</v>
      </c>
      <c r="B110" s="208" t="str">
        <f>+'BP 311220x3'!B111</f>
        <v>GMF</v>
      </c>
      <c r="C110" s="253">
        <f>+IFERROR((VLOOKUP((A110),'BP 311220x3'!A:F,6,0)),0)</f>
        <v>120000000</v>
      </c>
      <c r="D110" s="253">
        <f>+IFERROR((VLOOKUP((A110),'BP 311220x2'!A:F,6,0)),0)</f>
        <v>116000000</v>
      </c>
      <c r="E110" s="253">
        <f>+IFERROR((VLOOKUP((A110),'BP 010120x1'!A:C,3,0)),0)</f>
        <v>0</v>
      </c>
    </row>
    <row r="111" spans="1:9" x14ac:dyDescent="0.2">
      <c r="A111" s="208">
        <f>+'BP 311220x3'!A112</f>
        <v>511515</v>
      </c>
      <c r="B111" s="208" t="str">
        <f>+'BP 311220x3'!B112</f>
        <v>Impuesto predial</v>
      </c>
      <c r="C111" s="253">
        <f>+IFERROR((VLOOKUP((A111),'BP 311220x3'!A:F,6,0)),0)</f>
        <v>67543000</v>
      </c>
      <c r="D111" s="253">
        <f>+IFERROR((VLOOKUP((A111),'BP 311220x2'!A:F,6,0)),0)</f>
        <v>65000000</v>
      </c>
      <c r="E111" s="253">
        <f>+IFERROR((VLOOKUP((A111),'BP 010120x1'!A:C,3,0)),0)</f>
        <v>0</v>
      </c>
    </row>
    <row r="112" spans="1:9" x14ac:dyDescent="0.2">
      <c r="A112" s="208">
        <f>+'BP 311220x3'!A113</f>
        <v>511590</v>
      </c>
      <c r="B112" s="208" t="str">
        <f>+'BP 311220x3'!B113</f>
        <v>Impuesto a la riqueza</v>
      </c>
      <c r="C112" s="253">
        <f>+IFERROR((VLOOKUP((A112),'BP 311220x3'!A:F,6,0)),0)</f>
        <v>6543000</v>
      </c>
      <c r="D112" s="253">
        <f>+IFERROR((VLOOKUP((A112),'BP 311220x2'!A:F,6,0)),0)</f>
        <v>12350000</v>
      </c>
      <c r="E112" s="253">
        <f>+IFERROR((VLOOKUP((A112),'BP 010120x1'!A:C,3,0)),0)</f>
        <v>0</v>
      </c>
    </row>
    <row r="113" spans="1:5" x14ac:dyDescent="0.2">
      <c r="A113" s="208">
        <f>+'BP 311220x3'!A114</f>
        <v>511005</v>
      </c>
      <c r="B113" s="208" t="str">
        <f>+'BP 311220x3'!B114</f>
        <v>Gastos por honorarios</v>
      </c>
      <c r="C113" s="253">
        <f>+IFERROR((VLOOKUP((A113),'BP 311220x3'!A:F,6,0)),0)</f>
        <v>145000000</v>
      </c>
      <c r="D113" s="253">
        <f>+IFERROR((VLOOKUP((A113),'BP 311220x2'!A:F,6,0)),0)</f>
        <v>125000000</v>
      </c>
      <c r="E113" s="253">
        <f>+IFERROR((VLOOKUP((A113),'BP 010120x1'!A:C,3,0)),0)</f>
        <v>0</v>
      </c>
    </row>
    <row r="114" spans="1:5" x14ac:dyDescent="0.2">
      <c r="A114" s="208">
        <f>+'BP 311220x3'!A115</f>
        <v>512005</v>
      </c>
      <c r="B114" s="208" t="str">
        <f>+'BP 311220x3'!B115</f>
        <v xml:space="preserve">Gasto por arrendamientos </v>
      </c>
      <c r="C114" s="253">
        <f>+IFERROR((VLOOKUP((A114),'BP 311220x3'!A:F,6,0)),0)</f>
        <v>140352000</v>
      </c>
      <c r="D114" s="253">
        <f>+IFERROR((VLOOKUP((A114),'BP 311220x2'!A:F,6,0)),0)</f>
        <v>127560000</v>
      </c>
      <c r="E114" s="253">
        <f>+IFERROR((VLOOKUP((A114),'BP 010120x1'!A:C,3,0)),0)</f>
        <v>0</v>
      </c>
    </row>
    <row r="115" spans="1:5" x14ac:dyDescent="0.2">
      <c r="A115" s="208">
        <f>+'BP 311220x3'!A116</f>
        <v>513505</v>
      </c>
      <c r="B115" s="208" t="str">
        <f>+'BP 311220x3'!B116</f>
        <v>Gastos por servicios</v>
      </c>
      <c r="C115" s="253">
        <f>+IFERROR((VLOOKUP((A115),'BP 311220x3'!A:F,6,0)),0)</f>
        <v>756000000</v>
      </c>
      <c r="D115" s="253">
        <f>+IFERROR((VLOOKUP((A115),'BP 311220x2'!A:F,6,0)),0)</f>
        <v>652000000</v>
      </c>
      <c r="E115" s="253">
        <f>+IFERROR((VLOOKUP((A115),'BP 010120x1'!A:C,3,0)),0)</f>
        <v>0</v>
      </c>
    </row>
    <row r="116" spans="1:5" x14ac:dyDescent="0.2">
      <c r="A116" s="208">
        <f>+'BP 311220x3'!A117</f>
        <v>514005</v>
      </c>
      <c r="B116" s="208" t="str">
        <f>+'BP 311220x3'!B117</f>
        <v>Gastos legales</v>
      </c>
      <c r="C116" s="253">
        <f>+IFERROR((VLOOKUP((A116),'BP 311220x3'!A:F,6,0)),0)</f>
        <v>43125000</v>
      </c>
      <c r="D116" s="253">
        <f>+IFERROR((VLOOKUP((A116),'BP 311220x2'!A:F,6,0)),0)</f>
        <v>32152000</v>
      </c>
      <c r="E116" s="253">
        <f>+IFERROR((VLOOKUP((A116),'BP 010120x1'!A:C,3,0)),0)</f>
        <v>0</v>
      </c>
    </row>
    <row r="117" spans="1:5" x14ac:dyDescent="0.2">
      <c r="A117" s="208">
        <f>+'BP 311220x3'!A118</f>
        <v>516005</v>
      </c>
      <c r="B117" s="208" t="str">
        <f>+'BP 311220x3'!B118</f>
        <v>Gastos por depreciaciones</v>
      </c>
      <c r="C117" s="253">
        <f>+IFERROR((VLOOKUP((A117),'BP 311220x3'!A:F,6,0)),0)</f>
        <v>43505095</v>
      </c>
      <c r="D117" s="253">
        <f>+IFERROR((VLOOKUP((A117),'BP 311220x2'!A:F,6,0)),0)</f>
        <v>43505095</v>
      </c>
      <c r="E117" s="253">
        <f>+IFERROR((VLOOKUP((A117),'BP 010120x1'!A:C,3,0)),0)</f>
        <v>0</v>
      </c>
    </row>
    <row r="118" spans="1:5" x14ac:dyDescent="0.2">
      <c r="A118" s="208">
        <f>+'BP 311220x3'!A119</f>
        <v>516098</v>
      </c>
      <c r="B118" s="208" t="str">
        <f>+'BP 311220x3'!B119</f>
        <v>Gastos por depreciaciones ajuste NIIF</v>
      </c>
      <c r="C118" s="253">
        <f>+IFERROR((VLOOKUP((A118),'BP 311220x3'!A:F,6,0)),0)</f>
        <v>6190476</v>
      </c>
      <c r="D118" s="253">
        <f>+IFERROR((VLOOKUP((A118),'BP 311220x2'!A:F,6,0)),0)</f>
        <v>6190476</v>
      </c>
      <c r="E118" s="253">
        <f>+IFERROR((VLOOKUP((A118),'BP 010120x1'!A:C,3,0)),0)</f>
        <v>0</v>
      </c>
    </row>
    <row r="119" spans="1:5" x14ac:dyDescent="0.2">
      <c r="A119" s="208">
        <f>+'BP 311220x3'!A120</f>
        <v>514505</v>
      </c>
      <c r="B119" s="208" t="str">
        <f>+'BP 311220x3'!B120</f>
        <v>Mantenimientos</v>
      </c>
      <c r="C119" s="253">
        <f>+IFERROR((VLOOKUP((A119),'BP 311220x3'!A:F,6,0)),0)</f>
        <v>157000000</v>
      </c>
      <c r="D119" s="253">
        <f>+IFERROR((VLOOKUP((A119),'BP 311220x2'!A:F,6,0)),0)</f>
        <v>145000000</v>
      </c>
      <c r="E119" s="253">
        <f>+IFERROR((VLOOKUP((A119),'BP 010120x1'!A:C,3,0)),0)</f>
        <v>0</v>
      </c>
    </row>
    <row r="120" spans="1:5" x14ac:dyDescent="0.2">
      <c r="A120" s="208">
        <f>+'BP 311220x3'!A121</f>
        <v>513005</v>
      </c>
      <c r="B120" s="208" t="str">
        <f>+'BP 311220x3'!B121</f>
        <v>Pólizas y seguros</v>
      </c>
      <c r="C120" s="253">
        <f>+IFERROR((VLOOKUP((A120),'BP 311220x3'!A:F,6,0)),0)</f>
        <v>48062000</v>
      </c>
      <c r="D120" s="253">
        <f>+IFERROR((VLOOKUP((A120),'BP 311220x2'!A:F,6,0)),0)</f>
        <v>42020000</v>
      </c>
      <c r="E120" s="253">
        <f>+IFERROR((VLOOKUP((A120),'BP 010120x1'!A:C,3,0)),0)</f>
        <v>0</v>
      </c>
    </row>
    <row r="121" spans="1:5" x14ac:dyDescent="0.2">
      <c r="A121" s="208">
        <f>+'BP 311220x3'!A122</f>
        <v>515505</v>
      </c>
      <c r="B121" s="208" t="str">
        <f>+'BP 311220x3'!B122</f>
        <v>Gastos de viajes</v>
      </c>
      <c r="C121" s="253">
        <f>+IFERROR((VLOOKUP((A121),'BP 311220x3'!A:F,6,0)),0)</f>
        <v>54585000</v>
      </c>
      <c r="D121" s="253">
        <f>+IFERROR((VLOOKUP((A121),'BP 311220x2'!A:F,6,0)),0)</f>
        <v>75026000</v>
      </c>
      <c r="E121" s="253">
        <f>+IFERROR((VLOOKUP((A121),'BP 010120x1'!A:C,3,0)),0)</f>
        <v>0</v>
      </c>
    </row>
    <row r="122" spans="1:5" x14ac:dyDescent="0.2">
      <c r="A122" s="208">
        <f>+'BP 311220x3'!A123</f>
        <v>519510</v>
      </c>
      <c r="B122" s="208" t="str">
        <f>+'BP 311220x3'!B123</f>
        <v>Gastos por suscripciones</v>
      </c>
      <c r="C122" s="253">
        <f>+IFERROR((VLOOKUP((A122),'BP 311220x3'!A:F,6,0)),0)</f>
        <v>18560000</v>
      </c>
      <c r="D122" s="253">
        <f>+IFERROR((VLOOKUP((A122),'BP 311220x2'!A:F,6,0)),0)</f>
        <v>26046000</v>
      </c>
      <c r="E122" s="253">
        <f>+IFERROR((VLOOKUP((A122),'BP 010120x1'!A:C,3,0)),0)</f>
        <v>0</v>
      </c>
    </row>
    <row r="123" spans="1:5" x14ac:dyDescent="0.2">
      <c r="A123" s="208">
        <f>+'BP 311220x3'!A124</f>
        <v>516505</v>
      </c>
      <c r="B123" s="208" t="str">
        <f>+'BP 311220x3'!B124</f>
        <v>Gasto por amortización de diferidos</v>
      </c>
      <c r="C123" s="253">
        <f>+IFERROR((VLOOKUP((A123),'BP 311220x3'!A:F,6,0)),0)</f>
        <v>0</v>
      </c>
      <c r="D123" s="253">
        <f>+IFERROR((VLOOKUP((A123),'BP 311220x2'!A:F,6,0)),0)</f>
        <v>0</v>
      </c>
      <c r="E123" s="253">
        <f>+IFERROR((VLOOKUP((A123),'BP 010120x1'!A:C,3,0)),0)</f>
        <v>0</v>
      </c>
    </row>
    <row r="124" spans="1:5" x14ac:dyDescent="0.2">
      <c r="A124" s="208">
        <f>+'BP 311220x3'!A125</f>
        <v>519530</v>
      </c>
      <c r="B124" s="208" t="str">
        <f>+'BP 311220x3'!B125</f>
        <v>Gastos por papelería</v>
      </c>
      <c r="C124" s="253">
        <f>+IFERROR((VLOOKUP((A124),'BP 311220x3'!A:F,6,0)),0)</f>
        <v>76543000</v>
      </c>
      <c r="D124" s="253">
        <f>+IFERROR((VLOOKUP((A124),'BP 311220x2'!A:F,6,0)),0)</f>
        <v>65321000</v>
      </c>
      <c r="E124" s="253">
        <f>+IFERROR((VLOOKUP((A124),'BP 010120x1'!A:C,3,0)),0)</f>
        <v>0</v>
      </c>
    </row>
    <row r="125" spans="1:5" x14ac:dyDescent="0.2">
      <c r="A125" s="208">
        <f>+'BP 311220x3'!A126</f>
        <v>519585</v>
      </c>
      <c r="B125" s="208" t="str">
        <f>+'BP 311220x3'!B126</f>
        <v>Gastos de combustibles y otros</v>
      </c>
      <c r="C125" s="253">
        <f>+IFERROR((VLOOKUP((A125),'BP 311220x3'!A:F,6,0)),0)</f>
        <v>67876000</v>
      </c>
      <c r="D125" s="253">
        <f>+IFERROR((VLOOKUP((A125),'BP 311220x2'!A:F,6,0)),0)</f>
        <v>45826000</v>
      </c>
      <c r="E125" s="253">
        <f>+IFERROR((VLOOKUP((A125),'BP 010120x1'!A:C,3,0)),0)</f>
        <v>0</v>
      </c>
    </row>
    <row r="126" spans="1:5" x14ac:dyDescent="0.2">
      <c r="A126" s="208">
        <f>+'BP 311220x3'!A127</f>
        <v>539505</v>
      </c>
      <c r="B126" s="208" t="str">
        <f>+'BP 311220x3'!B127</f>
        <v>Gastos por demandas</v>
      </c>
      <c r="C126" s="253">
        <f>+IFERROR((VLOOKUP((A126),'BP 311220x3'!A:F,6,0)),0)</f>
        <v>77348871</v>
      </c>
      <c r="D126" s="253">
        <f>+IFERROR((VLOOKUP((A126),'BP 311220x2'!A:F,6,0)),0)</f>
        <v>49448430</v>
      </c>
      <c r="E126" s="253">
        <f>+IFERROR((VLOOKUP((A126),'BP 010120x1'!A:C,3,0)),0)</f>
        <v>0</v>
      </c>
    </row>
    <row r="127" spans="1:5" x14ac:dyDescent="0.2">
      <c r="A127" s="208">
        <f>+'BP 311220x3'!A128</f>
        <v>516510</v>
      </c>
      <c r="B127" s="208" t="str">
        <f>+'BP 311220x3'!B128</f>
        <v>Amortización intangibles</v>
      </c>
      <c r="C127" s="253">
        <f>+IFERROR((VLOOKUP((A127),'BP 311220x3'!A:F,6,0)),0)</f>
        <v>13000000</v>
      </c>
      <c r="D127" s="253">
        <f>+IFERROR((VLOOKUP((A127),'BP 311220x2'!A:F,6,0)),0)</f>
        <v>13000000</v>
      </c>
      <c r="E127" s="253">
        <f>+IFERROR((VLOOKUP((A127),'BP 010120x1'!A:C,3,0)),0)</f>
        <v>0</v>
      </c>
    </row>
    <row r="128" spans="1:5" x14ac:dyDescent="0.2">
      <c r="A128" s="208">
        <f>+'BP 311220x3'!A129</f>
        <v>519905</v>
      </c>
      <c r="B128" s="208" t="str">
        <f>+'BP 311220x3'!B129</f>
        <v>Deterioro de cuentas por cobrar fiscal</v>
      </c>
      <c r="C128" s="253">
        <f>+IFERROR((VLOOKUP((A128),'BP 311220x3'!A:F,6,0)),0)</f>
        <v>0</v>
      </c>
      <c r="D128" s="253">
        <f>+IFERROR((VLOOKUP((A128),'BP 311220x2'!A:F,6,0)),0)</f>
        <v>157822676.41999996</v>
      </c>
      <c r="E128" s="253">
        <f>+IFERROR((VLOOKUP((A128),'BP 010120x1'!A:C,3,0)),0)</f>
        <v>0</v>
      </c>
    </row>
    <row r="129" spans="1:5" x14ac:dyDescent="0.2">
      <c r="A129" s="208">
        <f>+'BP 311220x3'!A130</f>
        <v>519906</v>
      </c>
      <c r="B129" s="208" t="str">
        <f>+'BP 311220x3'!B130</f>
        <v>Deterioro de cuentas por cobrar ajuste NIIF</v>
      </c>
      <c r="C129" s="253">
        <f>+IFERROR((VLOOKUP((A129),'BP 311220x3'!A:F,6,0)),0)</f>
        <v>0</v>
      </c>
      <c r="D129" s="253">
        <f>+IFERROR((VLOOKUP((A129),'BP 311220x2'!A:F,6,0)),0)</f>
        <v>0</v>
      </c>
      <c r="E129" s="253">
        <f>+IFERROR((VLOOKUP((A129),'BP 010120x1'!A:C,3,0)),0)</f>
        <v>0</v>
      </c>
    </row>
    <row r="130" spans="1:5" x14ac:dyDescent="0.2">
      <c r="A130" s="208">
        <f>+'BP 311220x3'!A131</f>
        <v>530505</v>
      </c>
      <c r="B130" s="208" t="str">
        <f>+'BP 311220x3'!B131</f>
        <v>Gastos bancarios y comisiones</v>
      </c>
      <c r="C130" s="253">
        <f>+IFERROR((VLOOKUP((A130),'BP 311220x3'!A:F,6,0)),0)</f>
        <v>13456000</v>
      </c>
      <c r="D130" s="253">
        <f>+IFERROR((VLOOKUP((A130),'BP 311220x2'!A:F,6,0)),0)</f>
        <v>12526000</v>
      </c>
      <c r="E130" s="253">
        <f>+IFERROR((VLOOKUP((A130),'BP 010120x1'!A:C,3,0)),0)</f>
        <v>0</v>
      </c>
    </row>
    <row r="131" spans="1:5" x14ac:dyDescent="0.2">
      <c r="A131" s="208">
        <f>+'BP 311220x3'!A132</f>
        <v>530520</v>
      </c>
      <c r="B131" s="208" t="str">
        <f>+'BP 311220x3'!B132</f>
        <v>Gastos financieros</v>
      </c>
      <c r="C131" s="253">
        <f>+IFERROR((VLOOKUP((A131),'BP 311220x3'!A:F,6,0)),0)</f>
        <v>255228597</v>
      </c>
      <c r="D131" s="253">
        <f>+IFERROR((VLOOKUP((A131),'BP 311220x2'!A:F,6,0)),0)</f>
        <v>316532820</v>
      </c>
      <c r="E131" s="253">
        <f>+IFERROR((VLOOKUP((A131),'BP 010120x1'!A:C,3,0)),0)</f>
        <v>0</v>
      </c>
    </row>
    <row r="132" spans="1:5" x14ac:dyDescent="0.2">
      <c r="A132" s="208">
        <f>+'BP 311220x3'!A133</f>
        <v>530521</v>
      </c>
      <c r="B132" s="208" t="str">
        <f>+'BP 311220x3'!B133</f>
        <v>Intereses- actualización de provisiones</v>
      </c>
      <c r="C132" s="253">
        <f>+IFERROR((VLOOKUP((A132),'BP 311220x3'!A:F,6,0)),0)</f>
        <v>15332441</v>
      </c>
      <c r="D132" s="253">
        <f>+IFERROR((VLOOKUP((A132),'BP 311220x2'!A:F,6,0)),0)</f>
        <v>14858661</v>
      </c>
      <c r="E132" s="253">
        <f>+IFERROR((VLOOKUP((A132),'BP 010120x1'!A:C,3,0)),0)</f>
        <v>0</v>
      </c>
    </row>
    <row r="133" spans="1:5" x14ac:dyDescent="0.2">
      <c r="A133" s="208">
        <f>+'BP 311220x3'!A134</f>
        <v>530522</v>
      </c>
      <c r="B133" s="208" t="str">
        <f>+'BP 311220x3'!B134</f>
        <v>Gastos financieros - costos de transacción</v>
      </c>
      <c r="C133" s="253">
        <f>+IFERROR((VLOOKUP((A133),'BP 311220x3'!A:F,6,0)),0)</f>
        <v>20591301</v>
      </c>
      <c r="D133" s="253">
        <f>+IFERROR((VLOOKUP((A133),'BP 311220x2'!A:F,6,0)),0)</f>
        <v>24373550</v>
      </c>
      <c r="E133" s="253">
        <f>+IFERROR((VLOOKUP((A133),'BP 010120x1'!A:C,3,0)),0)</f>
        <v>0</v>
      </c>
    </row>
    <row r="134" spans="1:5" x14ac:dyDescent="0.2">
      <c r="A134" s="208">
        <f>+'BP 311220x3'!A135</f>
        <v>540505</v>
      </c>
      <c r="B134" s="208" t="str">
        <f>+'BP 311220x3'!B135</f>
        <v>Gasto impuesto ganancias corriente</v>
      </c>
      <c r="C134" s="253">
        <f>+IFERROR((VLOOKUP((A134),'BP 311220x3'!A:F,6,0)),0)</f>
        <v>2479477000</v>
      </c>
      <c r="D134" s="253">
        <f>+IFERROR((VLOOKUP((A134),'BP 311220x2'!A:F,6,0)),0)</f>
        <v>1826523000</v>
      </c>
      <c r="E134" s="253">
        <f>+IFERROR((VLOOKUP((A134),'BP 010120x1'!A:C,3,0)),0)</f>
        <v>0</v>
      </c>
    </row>
    <row r="135" spans="1:5" x14ac:dyDescent="0.2">
      <c r="A135" s="208">
        <f>+'BP 311220x3'!A136</f>
        <v>540510</v>
      </c>
      <c r="B135" s="208" t="str">
        <f>+'BP 311220x3'!B136</f>
        <v>Gasto impuesto ganancias diferido</v>
      </c>
      <c r="C135" s="253">
        <f>+IFERROR((VLOOKUP((A135),'BP 311220x3'!A:F,6,0)),0)</f>
        <v>-848838343.1909194</v>
      </c>
      <c r="D135" s="253">
        <f>+IFERROR((VLOOKUP((A135),'BP 311220x2'!A:F,6,0)),0)</f>
        <v>290144790.59369111</v>
      </c>
      <c r="E135" s="253">
        <f>+IFERROR((VLOOKUP((A135),'BP 010120x1'!A:C,3,0)),0)</f>
        <v>0</v>
      </c>
    </row>
    <row r="136" spans="1:5" x14ac:dyDescent="0.2">
      <c r="A136" s="208">
        <f>+'BP 311220x3'!A137</f>
        <v>540515</v>
      </c>
      <c r="B136" s="208" t="str">
        <f>+'BP 311220x3'!B137</f>
        <v>Variaciones impuesto periodos anteriores</v>
      </c>
      <c r="C136" s="253">
        <f>+IFERROR((VLOOKUP((A136),'BP 311220x3'!A:F,6,0)),0)</f>
        <v>0</v>
      </c>
      <c r="D136" s="253">
        <f>+IFERROR((VLOOKUP((A136),'BP 311220x2'!A:F,6,0)),0)</f>
        <v>0</v>
      </c>
      <c r="E136" s="253">
        <f>+IFERROR((VLOOKUP((A136),'BP 010120x1'!A:C,3,0)),0)</f>
        <v>0</v>
      </c>
    </row>
    <row r="137" spans="1:5" x14ac:dyDescent="0.2">
      <c r="B137" s="204" t="s">
        <v>193</v>
      </c>
      <c r="C137" s="260">
        <f>+C84-C102</f>
        <v>5453581071.6709175</v>
      </c>
      <c r="D137" s="260">
        <f>+D84-D102</f>
        <v>3788945993.4063072</v>
      </c>
      <c r="E137" s="260">
        <f>+E84-E102</f>
        <v>0</v>
      </c>
    </row>
    <row r="141" spans="1:5" x14ac:dyDescent="0.2">
      <c r="B141" s="204" t="s">
        <v>223</v>
      </c>
      <c r="C141" s="224">
        <f>SUM(C142:C149)</f>
        <v>0</v>
      </c>
      <c r="D141" s="224">
        <f>SUM(D142:D149)</f>
        <v>0</v>
      </c>
      <c r="E141" s="253"/>
    </row>
    <row r="142" spans="1:5" x14ac:dyDescent="0.2">
      <c r="A142" s="208">
        <f>+'BP 311220x3'!A143</f>
        <v>799999</v>
      </c>
      <c r="B142" s="208" t="str">
        <f>+'BP 311220x3'!B143</f>
        <v>CP reclasificación a costos de ventas</v>
      </c>
      <c r="C142" s="253">
        <f>+IFERROR((VLOOKUP((A142),'BP 311220x3'!A:F,6,0)),0)</f>
        <v>-19856802322</v>
      </c>
      <c r="D142" s="253">
        <f>+IFERROR((VLOOKUP((A142),'BP 311220x2'!A:F,6,0)),0)</f>
        <v>-19301592532</v>
      </c>
      <c r="E142" s="253">
        <f>+IFERROR((VLOOKUP((A142),'BP 010120x1'!A:C,3,0)),0)</f>
        <v>0</v>
      </c>
    </row>
    <row r="143" spans="1:5" x14ac:dyDescent="0.2">
      <c r="A143" s="208">
        <f>+'BP 311220x3'!A144</f>
        <v>710505</v>
      </c>
      <c r="B143" s="208" t="str">
        <f>+'BP 311220x3'!B144</f>
        <v>CP materias primas</v>
      </c>
      <c r="C143" s="253">
        <f>+IFERROR((VLOOKUP((A143),'BP 311220x3'!A:F,6,0)),0)</f>
        <v>11212019000</v>
      </c>
      <c r="D143" s="253">
        <f>+IFERROR((VLOOKUP((A143),'BP 311220x2'!A:F,6,0)),0)</f>
        <v>10948640000</v>
      </c>
      <c r="E143" s="253">
        <f>+IFERROR((VLOOKUP((A143),'BP 010120x1'!A:C,3,0)),0)</f>
        <v>0</v>
      </c>
    </row>
    <row r="144" spans="1:5" x14ac:dyDescent="0.2">
      <c r="A144" s="208">
        <f>+'BP 311220x3'!A145</f>
        <v>736005</v>
      </c>
      <c r="B144" s="208" t="str">
        <f>+'BP 311220x3'!B145</f>
        <v>CP depreciación</v>
      </c>
      <c r="C144" s="253">
        <f>+IFERROR((VLOOKUP((A144),'BP 311220x3'!A:F,6,0)),0)</f>
        <v>204776533</v>
      </c>
      <c r="D144" s="253">
        <f>+IFERROR((VLOOKUP((A144),'BP 311220x2'!A:F,6,0)),0)</f>
        <v>204776532</v>
      </c>
      <c r="E144" s="253">
        <f>+IFERROR((VLOOKUP((A144),'BP 010120x1'!A:C,3,0)),0)</f>
        <v>0</v>
      </c>
    </row>
    <row r="145" spans="1:5" x14ac:dyDescent="0.2">
      <c r="A145" s="208">
        <f>+'BP 311220x3'!A146</f>
        <v>736098</v>
      </c>
      <c r="B145" s="208" t="str">
        <f>+'BP 311220x3'!B146</f>
        <v>CP depreciación NIIF</v>
      </c>
      <c r="C145" s="253">
        <f>+IFERROR((VLOOKUP((A145),'BP 311220x3'!A:F,6,0)),0)</f>
        <v>-73350000</v>
      </c>
      <c r="D145" s="253">
        <f>+IFERROR((VLOOKUP((A145),'BP 311220x2'!A:F,6,0)),0)</f>
        <v>-73350000</v>
      </c>
      <c r="E145" s="253">
        <f>+IFERROR((VLOOKUP((A145),'BP 010120x1'!A:C,3,0)),0)</f>
        <v>0</v>
      </c>
    </row>
    <row r="146" spans="1:5" x14ac:dyDescent="0.2">
      <c r="A146" s="208">
        <f>+'BP 311220x3'!A147</f>
        <v>733005</v>
      </c>
      <c r="B146" s="208" t="str">
        <f>+'BP 311220x3'!B147</f>
        <v>CP seguros</v>
      </c>
      <c r="C146" s="253">
        <f>+IFERROR((VLOOKUP((A146),'BP 311220x3'!A:F,6,0)),0)</f>
        <v>422356789</v>
      </c>
      <c r="D146" s="253">
        <f>+IFERROR((VLOOKUP((A146),'BP 311220x2'!A:F,6,0)),0)</f>
        <v>456526000</v>
      </c>
      <c r="E146" s="253">
        <f>+IFERROR((VLOOKUP((A146),'BP 010120x1'!A:C,3,0)),0)</f>
        <v>0</v>
      </c>
    </row>
    <row r="147" spans="1:5" x14ac:dyDescent="0.2">
      <c r="A147" s="208">
        <f>+'BP 311220x3'!A148</f>
        <v>720505</v>
      </c>
      <c r="B147" s="208" t="str">
        <f>+'BP 311220x3'!B148</f>
        <v>CP servicios de personal temporal</v>
      </c>
      <c r="C147" s="253">
        <f>+IFERROR((VLOOKUP((A147),'BP 311220x3'!A:F,6,0)),0)</f>
        <v>6158000000</v>
      </c>
      <c r="D147" s="253">
        <f>+IFERROR((VLOOKUP((A147),'BP 311220x2'!A:F,6,0)),0)</f>
        <v>5950000000</v>
      </c>
      <c r="E147" s="253">
        <f>+IFERROR((VLOOKUP((A147),'BP 010120x1'!A:C,3,0)),0)</f>
        <v>0</v>
      </c>
    </row>
    <row r="148" spans="1:5" x14ac:dyDescent="0.2">
      <c r="A148" s="208">
        <f>+'BP 311220x3'!A149</f>
        <v>738005</v>
      </c>
      <c r="B148" s="208" t="str">
        <f>+'BP 311220x3'!B149</f>
        <v>CP otros CIF</v>
      </c>
      <c r="C148" s="253">
        <f>+IFERROR((VLOOKUP((A148),'BP 311220x3'!A:F,6,0)),0)</f>
        <v>1933000000</v>
      </c>
      <c r="D148" s="253">
        <f>+IFERROR((VLOOKUP((A148),'BP 311220x2'!A:F,6,0)),0)</f>
        <v>1815000000</v>
      </c>
      <c r="E148" s="253">
        <f>+IFERROR((VLOOKUP((A148),'BP 010120x1'!A:C,3,0)),0)</f>
        <v>0</v>
      </c>
    </row>
    <row r="149" spans="1:5" x14ac:dyDescent="0.2">
      <c r="B149" s="208"/>
      <c r="C149" s="253"/>
      <c r="D149" s="253"/>
      <c r="E149" s="253"/>
    </row>
  </sheetData>
  <hyperlinks>
    <hyperlink ref="D2" r:id="rId1" xr:uid="{00000000-0004-0000-0500-000000000000}"/>
  </hyperlinks>
  <pageMargins left="0.39370078740157483" right="0.39370078740157483" top="0.39370078740157483" bottom="0.39370078740157483" header="0" footer="0"/>
  <pageSetup scale="64" orientation="landscape" horizontalDpi="120" verticalDpi="144" r:id="rId2"/>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D20115"/>
  <sheetViews>
    <sheetView showGridLines="0" topLeftCell="C40" zoomScaleNormal="100" workbookViewId="0">
      <selection activeCell="AT47" sqref="AT47"/>
    </sheetView>
  </sheetViews>
  <sheetFormatPr baseColWidth="10" defaultColWidth="9.140625" defaultRowHeight="15" x14ac:dyDescent="0.25"/>
  <cols>
    <col min="1" max="1" width="0.85546875" style="412" customWidth="1"/>
    <col min="2" max="2" width="4.28515625" style="413" customWidth="1"/>
    <col min="3" max="3" width="0.42578125" style="413" customWidth="1"/>
    <col min="4" max="4" width="6" style="413" customWidth="1"/>
    <col min="5" max="5" width="6.7109375" style="413" customWidth="1"/>
    <col min="6" max="6" width="4.7109375" style="413" customWidth="1"/>
    <col min="7" max="7" width="2.42578125" style="413" customWidth="1"/>
    <col min="8" max="8" width="2.140625" style="413" customWidth="1"/>
    <col min="9" max="9" width="1.140625" style="413" customWidth="1"/>
    <col min="10" max="10" width="3" style="413" customWidth="1"/>
    <col min="11" max="11" width="2.7109375" style="413" customWidth="1"/>
    <col min="12" max="12" width="4.140625" style="413" customWidth="1"/>
    <col min="13" max="13" width="2.7109375" style="413" customWidth="1"/>
    <col min="14" max="14" width="5.42578125" style="413" customWidth="1"/>
    <col min="15" max="15" width="6" style="413" customWidth="1"/>
    <col min="16" max="16" width="4.5703125" style="413" customWidth="1"/>
    <col min="17" max="17" width="1.85546875" style="414" customWidth="1"/>
    <col min="18" max="18" width="4.140625" style="414" customWidth="1"/>
    <col min="19" max="19" width="2.7109375" style="414" customWidth="1"/>
    <col min="20" max="20" width="1" style="414" customWidth="1"/>
    <col min="21" max="21" width="2.5703125" style="413" customWidth="1"/>
    <col min="22" max="22" width="1" style="413" customWidth="1"/>
    <col min="23" max="23" width="5.28515625" style="413" customWidth="1"/>
    <col min="24" max="24" width="4.28515625" style="413" customWidth="1"/>
    <col min="25" max="25" width="1" style="413" customWidth="1"/>
    <col min="26" max="26" width="4" style="413" customWidth="1"/>
    <col min="27" max="27" width="4.7109375" style="413" customWidth="1"/>
    <col min="28" max="28" width="4.140625" style="413" customWidth="1"/>
    <col min="29" max="29" width="2.5703125" style="413" customWidth="1"/>
    <col min="30" max="30" width="0.7109375" style="413" customWidth="1"/>
    <col min="31" max="31" width="0.85546875" style="413" customWidth="1"/>
    <col min="32" max="32" width="2.7109375" style="413" customWidth="1"/>
    <col min="33" max="33" width="4.5703125" style="413" customWidth="1"/>
    <col min="34" max="34" width="3.140625" style="413" customWidth="1"/>
    <col min="35" max="35" width="5.42578125" style="413" customWidth="1"/>
    <col min="36" max="36" width="10.5703125" style="413" customWidth="1"/>
    <col min="37" max="37" width="5.140625" style="415" customWidth="1"/>
    <col min="38" max="38" width="0.85546875" style="413" customWidth="1"/>
    <col min="39" max="39" width="2.85546875" style="413" customWidth="1"/>
    <col min="40" max="40" width="1.140625" style="413" customWidth="1"/>
    <col min="41" max="41" width="0.42578125" style="413" customWidth="1"/>
    <col min="42" max="42" width="3.85546875" style="413" customWidth="1"/>
    <col min="43" max="43" width="5.140625" style="413" customWidth="1"/>
    <col min="44" max="44" width="2.85546875" style="413" customWidth="1"/>
    <col min="45" max="45" width="5.28515625" style="413" customWidth="1"/>
    <col min="46" max="46" width="16.5703125" style="416" customWidth="1"/>
    <col min="47" max="47" width="22.7109375" style="555" customWidth="1"/>
    <col min="48" max="48" width="17.140625" style="555" customWidth="1"/>
    <col min="49" max="49" width="15.5703125" style="509" customWidth="1"/>
    <col min="50" max="50" width="9.140625" style="509"/>
    <col min="51" max="16384" width="9.140625" style="419"/>
  </cols>
  <sheetData>
    <row r="1" spans="1:56" x14ac:dyDescent="0.25">
      <c r="AU1" s="417"/>
      <c r="AV1" s="417"/>
      <c r="AW1" s="418"/>
      <c r="AX1" s="418"/>
      <c r="AY1" s="416"/>
      <c r="AZ1" s="416"/>
      <c r="BA1" s="416"/>
      <c r="BB1" s="416"/>
      <c r="BC1" s="416"/>
      <c r="BD1" s="416"/>
    </row>
    <row r="2" spans="1:56" x14ac:dyDescent="0.25">
      <c r="AU2" s="417"/>
      <c r="AV2" s="417"/>
      <c r="AW2" s="418"/>
      <c r="AX2" s="418"/>
      <c r="AY2" s="416"/>
      <c r="AZ2" s="416"/>
      <c r="BA2" s="416"/>
      <c r="BB2" s="416"/>
      <c r="BC2" s="416"/>
      <c r="BD2" s="416"/>
    </row>
    <row r="3" spans="1:56" ht="13.5" customHeight="1" x14ac:dyDescent="0.25">
      <c r="AU3" s="420"/>
      <c r="AV3" s="421"/>
      <c r="AW3" s="418"/>
      <c r="AX3" s="418"/>
      <c r="AY3" s="416"/>
      <c r="AZ3" s="416"/>
      <c r="BA3" s="416"/>
      <c r="BB3" s="416"/>
      <c r="BC3" s="416"/>
      <c r="BD3" s="416"/>
    </row>
    <row r="4" spans="1:56" ht="3.75" customHeight="1" x14ac:dyDescent="0.25">
      <c r="A4" s="419"/>
      <c r="B4" s="422"/>
      <c r="C4" s="423"/>
      <c r="D4" s="423"/>
      <c r="E4" s="423"/>
      <c r="F4" s="423"/>
      <c r="G4" s="423"/>
      <c r="H4" s="423"/>
      <c r="I4" s="423"/>
      <c r="J4" s="423"/>
      <c r="K4" s="423"/>
      <c r="L4" s="423"/>
      <c r="M4" s="423"/>
      <c r="N4" s="423"/>
      <c r="O4" s="423"/>
      <c r="P4" s="423"/>
      <c r="Q4" s="424"/>
      <c r="R4" s="424"/>
      <c r="S4" s="424"/>
      <c r="T4" s="424"/>
      <c r="U4" s="423"/>
      <c r="V4" s="423"/>
      <c r="W4" s="423"/>
      <c r="X4" s="423"/>
      <c r="Y4" s="423"/>
      <c r="Z4" s="423"/>
      <c r="AA4" s="423"/>
      <c r="AB4" s="423"/>
      <c r="AC4" s="423"/>
      <c r="AD4" s="423"/>
      <c r="AE4" s="423"/>
      <c r="AF4" s="423"/>
      <c r="AG4" s="423"/>
      <c r="AH4" s="423"/>
      <c r="AI4" s="423"/>
      <c r="AJ4" s="423"/>
      <c r="AK4" s="425"/>
      <c r="AL4" s="423"/>
      <c r="AM4" s="423"/>
      <c r="AN4" s="423"/>
      <c r="AO4" s="423"/>
      <c r="AP4" s="423"/>
      <c r="AQ4" s="423"/>
      <c r="AR4" s="423"/>
      <c r="AS4" s="423"/>
      <c r="AU4" s="417"/>
      <c r="AV4" s="417"/>
      <c r="AW4" s="418"/>
      <c r="AX4" s="418"/>
      <c r="AY4" s="416"/>
      <c r="AZ4" s="416"/>
      <c r="BA4" s="416"/>
      <c r="BB4" s="416"/>
      <c r="BC4" s="416"/>
      <c r="BD4" s="416"/>
    </row>
    <row r="5" spans="1:56" ht="15" customHeight="1" x14ac:dyDescent="0.25">
      <c r="A5" s="419"/>
      <c r="B5" s="1454" t="s">
        <v>1122</v>
      </c>
      <c r="C5" s="1455"/>
      <c r="D5" s="1455"/>
      <c r="E5" s="1455"/>
      <c r="F5" s="1455"/>
      <c r="G5" s="1455"/>
      <c r="H5" s="1455"/>
      <c r="I5" s="1456"/>
      <c r="J5" s="1463" t="s">
        <v>1123</v>
      </c>
      <c r="K5" s="1464"/>
      <c r="L5" s="1464"/>
      <c r="M5" s="1464"/>
      <c r="N5" s="1464"/>
      <c r="O5" s="1464"/>
      <c r="P5" s="1464"/>
      <c r="Q5" s="1464"/>
      <c r="R5" s="1464"/>
      <c r="S5" s="1464"/>
      <c r="T5" s="1464"/>
      <c r="U5" s="1464"/>
      <c r="V5" s="1464"/>
      <c r="W5" s="1464"/>
      <c r="X5" s="1464"/>
      <c r="Y5" s="1464"/>
      <c r="Z5" s="1464"/>
      <c r="AA5" s="1464"/>
      <c r="AB5" s="1464"/>
      <c r="AC5" s="1465"/>
      <c r="AD5" s="1472"/>
      <c r="AE5" s="1472"/>
      <c r="AF5" s="1472"/>
      <c r="AG5" s="1472"/>
      <c r="AH5" s="1472"/>
      <c r="AI5" s="1472"/>
      <c r="AJ5" s="1472"/>
      <c r="AK5" s="1472"/>
      <c r="AL5" s="1472"/>
      <c r="AM5" s="1473">
        <v>110</v>
      </c>
      <c r="AN5" s="1473"/>
      <c r="AO5" s="1473"/>
      <c r="AP5" s="1473"/>
      <c r="AQ5" s="1473"/>
      <c r="AR5" s="1473"/>
      <c r="AS5" s="1474"/>
      <c r="AU5" s="417"/>
      <c r="AV5" s="417"/>
      <c r="AW5" s="418"/>
      <c r="AX5" s="418"/>
      <c r="AY5" s="416"/>
      <c r="AZ5" s="416"/>
      <c r="BA5" s="416"/>
      <c r="BB5" s="416"/>
      <c r="BC5" s="416"/>
      <c r="BD5" s="416"/>
    </row>
    <row r="6" spans="1:56" ht="30" customHeight="1" x14ac:dyDescent="0.25">
      <c r="A6" s="419"/>
      <c r="B6" s="1457"/>
      <c r="C6" s="1458"/>
      <c r="D6" s="1458"/>
      <c r="E6" s="1458"/>
      <c r="F6" s="1458"/>
      <c r="G6" s="1458"/>
      <c r="H6" s="1458"/>
      <c r="I6" s="1459"/>
      <c r="J6" s="1466"/>
      <c r="K6" s="1467"/>
      <c r="L6" s="1467"/>
      <c r="M6" s="1467"/>
      <c r="N6" s="1467"/>
      <c r="O6" s="1467"/>
      <c r="P6" s="1467"/>
      <c r="Q6" s="1467"/>
      <c r="R6" s="1467"/>
      <c r="S6" s="1467"/>
      <c r="T6" s="1467"/>
      <c r="U6" s="1467"/>
      <c r="V6" s="1467"/>
      <c r="W6" s="1467"/>
      <c r="X6" s="1467"/>
      <c r="Y6" s="1467"/>
      <c r="Z6" s="1467"/>
      <c r="AA6" s="1467"/>
      <c r="AB6" s="1467"/>
      <c r="AC6" s="1468"/>
      <c r="AD6" s="1472"/>
      <c r="AE6" s="1472"/>
      <c r="AF6" s="1472"/>
      <c r="AG6" s="1472"/>
      <c r="AH6" s="1472"/>
      <c r="AI6" s="1472"/>
      <c r="AJ6" s="1472"/>
      <c r="AK6" s="1472"/>
      <c r="AL6" s="1472"/>
      <c r="AM6" s="1475"/>
      <c r="AN6" s="1475"/>
      <c r="AO6" s="1475"/>
      <c r="AP6" s="1475"/>
      <c r="AQ6" s="1475"/>
      <c r="AR6" s="1475"/>
      <c r="AS6" s="1476"/>
      <c r="AU6" s="417"/>
      <c r="AV6" s="417"/>
      <c r="AW6" s="418"/>
      <c r="AX6" s="418"/>
      <c r="AY6" s="416"/>
      <c r="AZ6" s="416"/>
      <c r="BA6" s="416"/>
      <c r="BB6" s="416"/>
      <c r="BC6" s="416"/>
      <c r="BD6" s="416"/>
    </row>
    <row r="7" spans="1:56" ht="3.75" customHeight="1" x14ac:dyDescent="0.25">
      <c r="A7" s="419"/>
      <c r="B7" s="1460"/>
      <c r="C7" s="1461"/>
      <c r="D7" s="1461"/>
      <c r="E7" s="1461"/>
      <c r="F7" s="1461"/>
      <c r="G7" s="1461"/>
      <c r="H7" s="1461"/>
      <c r="I7" s="1462"/>
      <c r="J7" s="1469"/>
      <c r="K7" s="1470"/>
      <c r="L7" s="1470"/>
      <c r="M7" s="1470"/>
      <c r="N7" s="1470"/>
      <c r="O7" s="1470"/>
      <c r="P7" s="1470"/>
      <c r="Q7" s="1470"/>
      <c r="R7" s="1470"/>
      <c r="S7" s="1470"/>
      <c r="T7" s="1470"/>
      <c r="U7" s="1470"/>
      <c r="V7" s="1470"/>
      <c r="W7" s="1470"/>
      <c r="X7" s="1470"/>
      <c r="Y7" s="1470"/>
      <c r="Z7" s="1470"/>
      <c r="AA7" s="1470"/>
      <c r="AB7" s="1470"/>
      <c r="AC7" s="1471"/>
      <c r="AD7" s="1472"/>
      <c r="AE7" s="1472"/>
      <c r="AF7" s="1472"/>
      <c r="AG7" s="1472"/>
      <c r="AH7" s="1472"/>
      <c r="AI7" s="1472"/>
      <c r="AJ7" s="1472"/>
      <c r="AK7" s="1472"/>
      <c r="AL7" s="1472"/>
      <c r="AM7" s="1477"/>
      <c r="AN7" s="1477"/>
      <c r="AO7" s="1477"/>
      <c r="AP7" s="1477"/>
      <c r="AQ7" s="1477"/>
      <c r="AR7" s="1477"/>
      <c r="AS7" s="1478"/>
      <c r="AU7" s="417"/>
      <c r="AV7" s="417"/>
      <c r="AW7" s="418"/>
      <c r="AX7" s="418"/>
      <c r="AY7" s="416"/>
      <c r="AZ7" s="416"/>
      <c r="BA7" s="416"/>
      <c r="BB7" s="416"/>
      <c r="BC7" s="416"/>
      <c r="BD7" s="416"/>
    </row>
    <row r="8" spans="1:56" ht="15.75" customHeight="1" x14ac:dyDescent="0.25">
      <c r="A8" s="419"/>
      <c r="B8" s="1479" t="s">
        <v>1124</v>
      </c>
      <c r="C8" s="1480"/>
      <c r="D8" s="1481"/>
      <c r="E8" s="426" t="s">
        <v>2142</v>
      </c>
      <c r="F8" s="1482"/>
      <c r="G8" s="1483"/>
      <c r="H8" s="1483"/>
      <c r="I8" s="1483"/>
      <c r="J8" s="1483"/>
      <c r="K8" s="1483"/>
      <c r="L8" s="1483"/>
      <c r="M8" s="1483"/>
      <c r="N8" s="1483"/>
      <c r="O8" s="1483"/>
      <c r="P8" s="1483"/>
      <c r="Q8" s="1483"/>
      <c r="R8" s="1483"/>
      <c r="S8" s="1483"/>
      <c r="T8" s="1483"/>
      <c r="U8" s="1483"/>
      <c r="V8" s="1483"/>
      <c r="W8" s="1483"/>
      <c r="X8" s="1483"/>
      <c r="Y8" s="1484"/>
      <c r="Z8" s="1485"/>
      <c r="AA8" s="1486"/>
      <c r="AB8" s="1486"/>
      <c r="AC8" s="1486"/>
      <c r="AD8" s="1486"/>
      <c r="AE8" s="1486"/>
      <c r="AF8" s="1486"/>
      <c r="AG8" s="1486"/>
      <c r="AH8" s="1486"/>
      <c r="AI8" s="1486"/>
      <c r="AJ8" s="1486"/>
      <c r="AK8" s="1486"/>
      <c r="AL8" s="1486"/>
      <c r="AM8" s="1486"/>
      <c r="AN8" s="1486"/>
      <c r="AO8" s="1486"/>
      <c r="AP8" s="1486"/>
      <c r="AQ8" s="1486"/>
      <c r="AR8" s="1486"/>
      <c r="AS8" s="1487"/>
      <c r="AU8" s="417"/>
      <c r="AV8" s="417"/>
      <c r="AW8" s="418"/>
      <c r="AX8" s="418"/>
      <c r="AY8" s="416"/>
      <c r="AZ8" s="416"/>
      <c r="BA8" s="416"/>
      <c r="BB8" s="416"/>
      <c r="BC8" s="416"/>
      <c r="BD8" s="416"/>
    </row>
    <row r="9" spans="1:56" ht="14.1" customHeight="1" x14ac:dyDescent="0.25">
      <c r="A9" s="419"/>
      <c r="B9" s="1488" t="s">
        <v>1125</v>
      </c>
      <c r="C9" s="1489"/>
      <c r="D9" s="1489"/>
      <c r="E9" s="1489"/>
      <c r="F9" s="1489"/>
      <c r="G9" s="1489"/>
      <c r="H9" s="427"/>
      <c r="I9" s="427"/>
      <c r="J9" s="427"/>
      <c r="K9" s="427"/>
      <c r="L9" s="427"/>
      <c r="M9" s="427"/>
      <c r="N9" s="427"/>
      <c r="O9" s="427"/>
      <c r="P9" s="427"/>
      <c r="Q9" s="428"/>
      <c r="R9" s="428"/>
      <c r="S9" s="428"/>
      <c r="T9" s="428"/>
      <c r="U9" s="427"/>
      <c r="V9" s="427"/>
      <c r="W9" s="427"/>
      <c r="X9" s="427"/>
      <c r="Y9" s="427"/>
      <c r="Z9" s="429" t="s">
        <v>1126</v>
      </c>
      <c r="AA9" s="430"/>
      <c r="AB9" s="430"/>
      <c r="AC9" s="430"/>
      <c r="AD9" s="430"/>
      <c r="AE9" s="430"/>
      <c r="AF9" s="430"/>
      <c r="AG9" s="430"/>
      <c r="AH9" s="430"/>
      <c r="AI9" s="1490" t="s">
        <v>1127</v>
      </c>
      <c r="AJ9" s="1490"/>
      <c r="AK9" s="1490"/>
      <c r="AL9" s="1490"/>
      <c r="AM9" s="1490"/>
      <c r="AN9" s="1490"/>
      <c r="AO9" s="1490"/>
      <c r="AP9" s="1490"/>
      <c r="AQ9" s="430"/>
      <c r="AR9" s="430"/>
      <c r="AS9" s="431"/>
      <c r="AU9" s="417"/>
      <c r="AV9" s="417"/>
      <c r="AW9" s="418"/>
      <c r="AX9" s="418"/>
      <c r="AY9" s="416"/>
      <c r="AZ9" s="416"/>
      <c r="BA9" s="416"/>
      <c r="BB9" s="416"/>
      <c r="BC9" s="416"/>
      <c r="BD9" s="416"/>
    </row>
    <row r="10" spans="1:56" ht="12" customHeight="1" x14ac:dyDescent="0.25">
      <c r="A10" s="419"/>
      <c r="B10" s="432"/>
      <c r="C10" s="427"/>
      <c r="D10" s="1491"/>
      <c r="E10" s="1491"/>
      <c r="F10" s="1491"/>
      <c r="G10" s="1491"/>
      <c r="H10" s="1491"/>
      <c r="I10" s="1491"/>
      <c r="J10" s="1491"/>
      <c r="K10" s="1491"/>
      <c r="L10" s="1491"/>
      <c r="M10" s="1491"/>
      <c r="N10" s="1491"/>
      <c r="O10" s="1491"/>
      <c r="P10" s="1491"/>
      <c r="Q10" s="1491"/>
      <c r="R10" s="1491"/>
      <c r="S10" s="1491"/>
      <c r="T10" s="1491"/>
      <c r="U10" s="1491"/>
      <c r="V10" s="1491"/>
      <c r="W10" s="1491"/>
      <c r="X10" s="1491"/>
      <c r="Y10" s="427"/>
      <c r="Z10" s="429"/>
      <c r="AA10" s="430"/>
      <c r="AB10" s="430"/>
      <c r="AC10" s="430"/>
      <c r="AD10" s="430"/>
      <c r="AE10" s="430"/>
      <c r="AF10" s="430"/>
      <c r="AG10" s="430"/>
      <c r="AH10" s="430"/>
      <c r="AI10" s="1490"/>
      <c r="AJ10" s="1490"/>
      <c r="AK10" s="1490"/>
      <c r="AL10" s="1490"/>
      <c r="AM10" s="1490"/>
      <c r="AN10" s="1490"/>
      <c r="AO10" s="1490"/>
      <c r="AP10" s="1490"/>
      <c r="AQ10" s="430"/>
      <c r="AR10" s="430"/>
      <c r="AS10" s="431"/>
      <c r="AU10" s="417"/>
      <c r="AV10" s="417"/>
      <c r="AW10" s="418"/>
      <c r="AX10" s="418"/>
      <c r="AY10" s="416"/>
      <c r="AZ10" s="416"/>
      <c r="BA10" s="416"/>
      <c r="BB10" s="416"/>
      <c r="BC10" s="416"/>
      <c r="BD10" s="416"/>
    </row>
    <row r="11" spans="1:56" ht="14.1" customHeight="1" x14ac:dyDescent="0.25">
      <c r="A11" s="419"/>
      <c r="B11" s="432"/>
      <c r="C11" s="427"/>
      <c r="D11" s="1406"/>
      <c r="E11" s="1406"/>
      <c r="F11" s="1406"/>
      <c r="G11" s="1406"/>
      <c r="H11" s="1406"/>
      <c r="I11" s="1406"/>
      <c r="J11" s="1406"/>
      <c r="K11" s="1406"/>
      <c r="L11" s="1406"/>
      <c r="M11" s="1406"/>
      <c r="N11" s="1406"/>
      <c r="O11" s="1406"/>
      <c r="P11" s="1406"/>
      <c r="Q11" s="1406"/>
      <c r="R11" s="1406"/>
      <c r="S11" s="1406"/>
      <c r="T11" s="1406"/>
      <c r="U11" s="1406"/>
      <c r="V11" s="1406"/>
      <c r="W11" s="1406"/>
      <c r="X11" s="1406"/>
      <c r="Y11" s="427"/>
      <c r="Z11" s="429"/>
      <c r="AA11" s="430"/>
      <c r="AB11" s="430"/>
      <c r="AC11" s="430"/>
      <c r="AD11" s="430"/>
      <c r="AE11" s="430"/>
      <c r="AF11" s="430"/>
      <c r="AG11" s="430"/>
      <c r="AH11" s="430"/>
      <c r="AI11" s="430"/>
      <c r="AJ11" s="430"/>
      <c r="AK11" s="430"/>
      <c r="AL11" s="430"/>
      <c r="AM11" s="430"/>
      <c r="AN11" s="430"/>
      <c r="AO11" s="430"/>
      <c r="AP11" s="430"/>
      <c r="AQ11" s="430"/>
      <c r="AR11" s="430"/>
      <c r="AS11" s="431"/>
      <c r="AU11" s="417"/>
      <c r="AV11" s="417"/>
      <c r="AW11" s="418"/>
      <c r="AX11" s="418"/>
      <c r="AY11" s="416"/>
      <c r="AZ11" s="416"/>
      <c r="BA11" s="416"/>
      <c r="BB11" s="416"/>
      <c r="BC11" s="416"/>
      <c r="BD11" s="416"/>
    </row>
    <row r="12" spans="1:56" ht="5.25" customHeight="1" x14ac:dyDescent="0.25">
      <c r="A12" s="419"/>
      <c r="B12" s="432"/>
      <c r="C12" s="427"/>
      <c r="D12" s="427"/>
      <c r="E12" s="427"/>
      <c r="F12" s="427"/>
      <c r="G12" s="427"/>
      <c r="H12" s="427"/>
      <c r="I12" s="427"/>
      <c r="J12" s="427"/>
      <c r="K12" s="427"/>
      <c r="L12" s="427"/>
      <c r="M12" s="427"/>
      <c r="N12" s="427"/>
      <c r="O12" s="427"/>
      <c r="P12" s="427"/>
      <c r="Q12" s="428"/>
      <c r="R12" s="428"/>
      <c r="S12" s="428"/>
      <c r="T12" s="428"/>
      <c r="U12" s="427"/>
      <c r="V12" s="427"/>
      <c r="W12" s="427"/>
      <c r="X12" s="427"/>
      <c r="Y12" s="427"/>
      <c r="Z12" s="429"/>
      <c r="AA12" s="430"/>
      <c r="AB12" s="430"/>
      <c r="AC12" s="430"/>
      <c r="AD12" s="430"/>
      <c r="AE12" s="430"/>
      <c r="AF12" s="430"/>
      <c r="AG12" s="430"/>
      <c r="AH12" s="430"/>
      <c r="AI12" s="430"/>
      <c r="AJ12" s="430"/>
      <c r="AK12" s="430"/>
      <c r="AL12" s="430"/>
      <c r="AM12" s="430"/>
      <c r="AN12" s="430"/>
      <c r="AO12" s="430"/>
      <c r="AP12" s="430"/>
      <c r="AQ12" s="430"/>
      <c r="AR12" s="430"/>
      <c r="AS12" s="431"/>
      <c r="AU12" s="417"/>
      <c r="AV12" s="417"/>
      <c r="AW12" s="418"/>
      <c r="AX12" s="418"/>
      <c r="AY12" s="416"/>
      <c r="AZ12" s="416"/>
      <c r="BA12" s="416"/>
      <c r="BB12" s="416"/>
      <c r="BC12" s="416"/>
      <c r="BD12" s="416"/>
    </row>
    <row r="13" spans="1:56" ht="0.75" customHeight="1" x14ac:dyDescent="0.25">
      <c r="A13" s="419"/>
      <c r="B13" s="432"/>
      <c r="C13" s="427"/>
      <c r="D13" s="427"/>
      <c r="E13" s="427"/>
      <c r="F13" s="427"/>
      <c r="G13" s="427"/>
      <c r="H13" s="427"/>
      <c r="I13" s="427"/>
      <c r="J13" s="427"/>
      <c r="K13" s="427"/>
      <c r="L13" s="427"/>
      <c r="M13" s="427"/>
      <c r="N13" s="427"/>
      <c r="O13" s="427"/>
      <c r="P13" s="427"/>
      <c r="Q13" s="428"/>
      <c r="R13" s="428"/>
      <c r="S13" s="428"/>
      <c r="T13" s="428"/>
      <c r="U13" s="427"/>
      <c r="V13" s="427"/>
      <c r="W13" s="427"/>
      <c r="X13" s="427"/>
      <c r="Y13" s="427"/>
      <c r="Z13" s="429"/>
      <c r="AA13" s="430"/>
      <c r="AB13" s="430"/>
      <c r="AC13" s="430"/>
      <c r="AD13" s="430"/>
      <c r="AE13" s="430"/>
      <c r="AF13" s="430"/>
      <c r="AG13" s="430"/>
      <c r="AH13" s="430"/>
      <c r="AI13" s="430"/>
      <c r="AJ13" s="430"/>
      <c r="AK13" s="430"/>
      <c r="AL13" s="430"/>
      <c r="AM13" s="430"/>
      <c r="AN13" s="430"/>
      <c r="AO13" s="430"/>
      <c r="AP13" s="430"/>
      <c r="AQ13" s="430"/>
      <c r="AR13" s="430"/>
      <c r="AS13" s="431"/>
      <c r="AU13" s="417"/>
      <c r="AV13" s="417"/>
      <c r="AW13" s="418"/>
      <c r="AX13" s="418"/>
      <c r="AY13" s="416"/>
      <c r="AZ13" s="416"/>
      <c r="BA13" s="416"/>
      <c r="BB13" s="416"/>
      <c r="BC13" s="416"/>
      <c r="BD13" s="416"/>
    </row>
    <row r="14" spans="1:56" ht="5.25" hidden="1" customHeight="1" x14ac:dyDescent="0.25">
      <c r="A14" s="419"/>
      <c r="B14" s="1407"/>
      <c r="C14" s="1408"/>
      <c r="D14" s="1408"/>
      <c r="E14" s="1408"/>
      <c r="F14" s="1408"/>
      <c r="G14" s="1408"/>
      <c r="H14" s="1408"/>
      <c r="I14" s="1408"/>
      <c r="J14" s="1408"/>
      <c r="K14" s="1408"/>
      <c r="L14" s="1408"/>
      <c r="M14" s="1408"/>
      <c r="N14" s="1408"/>
      <c r="O14" s="1408"/>
      <c r="P14" s="1409"/>
      <c r="Q14" s="1409"/>
      <c r="R14" s="1409"/>
      <c r="S14" s="1409"/>
      <c r="T14" s="1409"/>
      <c r="U14" s="1409"/>
      <c r="V14" s="1409"/>
      <c r="W14" s="1409"/>
      <c r="X14" s="1409"/>
      <c r="Y14" s="1409"/>
      <c r="Z14" s="429"/>
      <c r="AA14" s="430"/>
      <c r="AB14" s="430"/>
      <c r="AC14" s="430"/>
      <c r="AD14" s="430"/>
      <c r="AE14" s="430"/>
      <c r="AF14" s="430"/>
      <c r="AG14" s="430"/>
      <c r="AH14" s="430"/>
      <c r="AI14" s="430"/>
      <c r="AJ14" s="430"/>
      <c r="AK14" s="430"/>
      <c r="AL14" s="430"/>
      <c r="AM14" s="430"/>
      <c r="AN14" s="430"/>
      <c r="AO14" s="430"/>
      <c r="AP14" s="430"/>
      <c r="AQ14" s="430"/>
      <c r="AR14" s="430"/>
      <c r="AS14" s="431"/>
      <c r="AU14" s="417"/>
      <c r="AV14" s="417"/>
      <c r="AW14" s="418"/>
      <c r="AX14" s="418"/>
      <c r="AY14" s="416"/>
      <c r="AZ14" s="416"/>
      <c r="BA14" s="416"/>
      <c r="BB14" s="416"/>
      <c r="BC14" s="416"/>
      <c r="BD14" s="416"/>
    </row>
    <row r="15" spans="1:56" s="433" customFormat="1" ht="12.75" customHeight="1" x14ac:dyDescent="0.2">
      <c r="B15" s="1410" t="s">
        <v>1128</v>
      </c>
      <c r="C15" s="1411"/>
      <c r="D15" s="434" t="s">
        <v>1129</v>
      </c>
      <c r="E15" s="434"/>
      <c r="F15" s="434"/>
      <c r="G15" s="434"/>
      <c r="H15" s="434"/>
      <c r="I15" s="434"/>
      <c r="J15" s="434"/>
      <c r="K15" s="434"/>
      <c r="L15" s="434"/>
      <c r="M15" s="434"/>
      <c r="N15" s="434"/>
      <c r="O15" s="434" t="s">
        <v>1130</v>
      </c>
      <c r="P15" s="435" t="s">
        <v>1131</v>
      </c>
      <c r="Q15" s="434"/>
      <c r="R15" s="434"/>
      <c r="S15" s="434"/>
      <c r="T15" s="1414"/>
      <c r="U15" s="1414"/>
      <c r="V15" s="1414"/>
      <c r="W15" s="436" t="s">
        <v>1132</v>
      </c>
      <c r="X15" s="436"/>
      <c r="Y15" s="436"/>
      <c r="Z15" s="436"/>
      <c r="AA15" s="436"/>
      <c r="AB15" s="436"/>
      <c r="AC15" s="436"/>
      <c r="AD15" s="436"/>
      <c r="AE15" s="436"/>
      <c r="AF15" s="1414" t="s">
        <v>1133</v>
      </c>
      <c r="AG15" s="1414"/>
      <c r="AH15" s="1414"/>
      <c r="AI15" s="1414"/>
      <c r="AJ15" s="1414"/>
      <c r="AK15" s="1414"/>
      <c r="AL15" s="1414"/>
      <c r="AM15" s="1414"/>
      <c r="AN15" s="1414"/>
      <c r="AO15" s="1414" t="s">
        <v>1134</v>
      </c>
      <c r="AP15" s="1414"/>
      <c r="AQ15" s="1414"/>
      <c r="AR15" s="1414"/>
      <c r="AS15" s="1415"/>
      <c r="AT15" s="437"/>
      <c r="AU15" s="438"/>
      <c r="AV15" s="438"/>
      <c r="AW15" s="439"/>
      <c r="AX15" s="439"/>
      <c r="AY15" s="437"/>
      <c r="AZ15" s="437"/>
      <c r="BA15" s="437"/>
      <c r="BB15" s="437"/>
      <c r="BC15" s="437"/>
      <c r="BD15" s="437"/>
    </row>
    <row r="16" spans="1:56" s="433" customFormat="1" ht="12.75" customHeight="1" x14ac:dyDescent="0.2">
      <c r="B16" s="1412"/>
      <c r="C16" s="1413"/>
      <c r="D16" s="1416"/>
      <c r="E16" s="1416"/>
      <c r="F16" s="1416"/>
      <c r="G16" s="1416"/>
      <c r="H16" s="1416"/>
      <c r="I16" s="1416"/>
      <c r="J16" s="1416"/>
      <c r="K16" s="1416"/>
      <c r="L16" s="1416"/>
      <c r="M16" s="1416"/>
      <c r="N16" s="1417"/>
      <c r="O16" s="440"/>
      <c r="P16" s="1442"/>
      <c r="Q16" s="1443"/>
      <c r="R16" s="1443"/>
      <c r="S16" s="1443"/>
      <c r="T16" s="1443"/>
      <c r="U16" s="1443"/>
      <c r="V16" s="1444"/>
      <c r="W16" s="1442"/>
      <c r="X16" s="1443"/>
      <c r="Y16" s="1443"/>
      <c r="Z16" s="1443"/>
      <c r="AA16" s="1443"/>
      <c r="AB16" s="1443"/>
      <c r="AC16" s="1443"/>
      <c r="AD16" s="1443"/>
      <c r="AE16" s="1444"/>
      <c r="AF16" s="1445"/>
      <c r="AG16" s="1446"/>
      <c r="AH16" s="1446"/>
      <c r="AI16" s="1446"/>
      <c r="AJ16" s="1446"/>
      <c r="AK16" s="1446"/>
      <c r="AL16" s="1446"/>
      <c r="AM16" s="1446"/>
      <c r="AN16" s="1446"/>
      <c r="AO16" s="1445"/>
      <c r="AP16" s="1446"/>
      <c r="AQ16" s="1446"/>
      <c r="AR16" s="1446"/>
      <c r="AS16" s="1447"/>
      <c r="AT16" s="437"/>
      <c r="AU16" s="438"/>
      <c r="AV16" s="438"/>
      <c r="AW16" s="439"/>
      <c r="AX16" s="439"/>
      <c r="AY16" s="437"/>
      <c r="AZ16" s="437"/>
      <c r="BA16" s="437"/>
      <c r="BB16" s="437"/>
      <c r="BC16" s="437"/>
      <c r="BD16" s="437"/>
    </row>
    <row r="17" spans="1:56" s="433" customFormat="1" ht="22.5" customHeight="1" x14ac:dyDescent="0.2">
      <c r="B17" s="1412"/>
      <c r="C17" s="1413"/>
      <c r="D17" s="441" t="s">
        <v>1135</v>
      </c>
      <c r="E17" s="442"/>
      <c r="F17" s="442"/>
      <c r="G17" s="442"/>
      <c r="H17" s="442"/>
      <c r="I17" s="442"/>
      <c r="J17" s="442"/>
      <c r="K17" s="442"/>
      <c r="L17" s="442"/>
      <c r="M17" s="442"/>
      <c r="N17" s="442"/>
      <c r="O17" s="442"/>
      <c r="P17" s="442"/>
      <c r="Q17" s="442"/>
      <c r="R17" s="442"/>
      <c r="S17" s="442"/>
      <c r="T17" s="442"/>
      <c r="U17" s="442"/>
      <c r="V17" s="442"/>
      <c r="W17" s="442"/>
      <c r="X17" s="442"/>
      <c r="Y17" s="442"/>
      <c r="Z17" s="442"/>
      <c r="AA17" s="442"/>
      <c r="AB17" s="442"/>
      <c r="AC17" s="442"/>
      <c r="AD17" s="442"/>
      <c r="AE17" s="442"/>
      <c r="AF17" s="442"/>
      <c r="AG17" s="442"/>
      <c r="AH17" s="442"/>
      <c r="AI17" s="442"/>
      <c r="AJ17" s="442"/>
      <c r="AK17" s="1448" t="s">
        <v>1136</v>
      </c>
      <c r="AL17" s="1449"/>
      <c r="AM17" s="1449"/>
      <c r="AN17" s="1449"/>
      <c r="AO17" s="1449"/>
      <c r="AP17" s="1450"/>
      <c r="AQ17" s="1451" t="s">
        <v>1137</v>
      </c>
      <c r="AR17" s="1452"/>
      <c r="AS17" s="1453"/>
      <c r="AT17" s="437"/>
      <c r="AU17" s="443"/>
      <c r="AV17" s="443"/>
      <c r="AW17" s="439"/>
      <c r="AX17" s="439"/>
      <c r="AY17" s="437"/>
      <c r="AZ17" s="437"/>
      <c r="BA17" s="437"/>
      <c r="BB17" s="437"/>
      <c r="BC17" s="437"/>
      <c r="BD17" s="437"/>
    </row>
    <row r="18" spans="1:56" s="433" customFormat="1" ht="11.25" customHeight="1" x14ac:dyDescent="0.2">
      <c r="B18" s="1412"/>
      <c r="C18" s="1413"/>
      <c r="D18" s="1418"/>
      <c r="E18" s="1419"/>
      <c r="F18" s="1419"/>
      <c r="G18" s="1419"/>
      <c r="H18" s="1419"/>
      <c r="I18" s="1419"/>
      <c r="J18" s="1419"/>
      <c r="K18" s="1419"/>
      <c r="L18" s="1419"/>
      <c r="M18" s="1419"/>
      <c r="N18" s="1419"/>
      <c r="O18" s="1419"/>
      <c r="P18" s="1419"/>
      <c r="Q18" s="1419"/>
      <c r="R18" s="1419"/>
      <c r="S18" s="1419"/>
      <c r="T18" s="1419"/>
      <c r="U18" s="1419"/>
      <c r="V18" s="1419"/>
      <c r="W18" s="1419"/>
      <c r="X18" s="1419"/>
      <c r="Y18" s="1419"/>
      <c r="Z18" s="1419"/>
      <c r="AA18" s="1419"/>
      <c r="AB18" s="1419"/>
      <c r="AC18" s="1419"/>
      <c r="AD18" s="1419"/>
      <c r="AE18" s="1419"/>
      <c r="AF18" s="1419"/>
      <c r="AG18" s="1419"/>
      <c r="AH18" s="1419"/>
      <c r="AI18" s="1419"/>
      <c r="AJ18" s="1420"/>
      <c r="AK18" s="1424"/>
      <c r="AL18" s="1425"/>
      <c r="AM18" s="1425"/>
      <c r="AN18" s="1425"/>
      <c r="AO18" s="1425"/>
      <c r="AP18" s="1426"/>
      <c r="AQ18" s="1430"/>
      <c r="AR18" s="1431"/>
      <c r="AS18" s="1432"/>
      <c r="AT18" s="437"/>
      <c r="AU18" s="443"/>
      <c r="AV18" s="443"/>
      <c r="AW18" s="439"/>
      <c r="AX18" s="439"/>
      <c r="AY18" s="437"/>
      <c r="AZ18" s="437"/>
      <c r="BA18" s="437"/>
      <c r="BB18" s="437"/>
      <c r="BC18" s="437"/>
      <c r="BD18" s="437"/>
    </row>
    <row r="19" spans="1:56" s="433" customFormat="1" ht="4.5" customHeight="1" x14ac:dyDescent="0.2">
      <c r="B19" s="1412"/>
      <c r="C19" s="1413"/>
      <c r="D19" s="1421"/>
      <c r="E19" s="1422"/>
      <c r="F19" s="1422"/>
      <c r="G19" s="1422"/>
      <c r="H19" s="1422"/>
      <c r="I19" s="1422"/>
      <c r="J19" s="1422"/>
      <c r="K19" s="1422"/>
      <c r="L19" s="1422"/>
      <c r="M19" s="1422"/>
      <c r="N19" s="1422"/>
      <c r="O19" s="1422"/>
      <c r="P19" s="1422"/>
      <c r="Q19" s="1422"/>
      <c r="R19" s="1422"/>
      <c r="S19" s="1422"/>
      <c r="T19" s="1422"/>
      <c r="U19" s="1422"/>
      <c r="V19" s="1422"/>
      <c r="W19" s="1422"/>
      <c r="X19" s="1422"/>
      <c r="Y19" s="1422"/>
      <c r="Z19" s="1422"/>
      <c r="AA19" s="1422"/>
      <c r="AB19" s="1422"/>
      <c r="AC19" s="1422"/>
      <c r="AD19" s="1422"/>
      <c r="AE19" s="1422"/>
      <c r="AF19" s="1422"/>
      <c r="AG19" s="1422"/>
      <c r="AH19" s="1422"/>
      <c r="AI19" s="1422"/>
      <c r="AJ19" s="1423"/>
      <c r="AK19" s="1427"/>
      <c r="AL19" s="1428"/>
      <c r="AM19" s="1428"/>
      <c r="AN19" s="1428"/>
      <c r="AO19" s="1428"/>
      <c r="AP19" s="1429"/>
      <c r="AQ19" s="1433"/>
      <c r="AR19" s="1434"/>
      <c r="AS19" s="1435"/>
      <c r="AT19" s="437"/>
      <c r="AU19" s="438"/>
      <c r="AV19" s="438"/>
      <c r="AW19" s="439"/>
      <c r="AX19" s="439"/>
      <c r="AY19" s="437"/>
      <c r="AZ19" s="437"/>
      <c r="BA19" s="437"/>
      <c r="BB19" s="437"/>
      <c r="BC19" s="437"/>
      <c r="BD19" s="437"/>
    </row>
    <row r="20" spans="1:56" s="433" customFormat="1" ht="14.25" customHeight="1" x14ac:dyDescent="0.2">
      <c r="B20" s="1412"/>
      <c r="C20" s="1413"/>
      <c r="D20" s="444" t="s">
        <v>1138</v>
      </c>
      <c r="E20" s="444"/>
      <c r="F20" s="444"/>
      <c r="G20" s="444"/>
      <c r="H20" s="444"/>
      <c r="I20" s="444"/>
      <c r="J20" s="445"/>
      <c r="K20" s="1436" t="s">
        <v>1139</v>
      </c>
      <c r="L20" s="1436"/>
      <c r="M20" s="1437"/>
      <c r="N20" s="1438"/>
      <c r="O20" s="446" t="s">
        <v>1140</v>
      </c>
      <c r="P20" s="447"/>
      <c r="Q20" s="448"/>
      <c r="R20" s="448"/>
      <c r="S20" s="444"/>
      <c r="T20" s="444"/>
      <c r="U20" s="444"/>
      <c r="V20" s="444"/>
      <c r="W20" s="1439"/>
      <c r="X20" s="1440"/>
      <c r="Y20" s="1440"/>
      <c r="Z20" s="1440"/>
      <c r="AA20" s="1440"/>
      <c r="AB20" s="1440"/>
      <c r="AC20" s="1440"/>
      <c r="AD20" s="1440"/>
      <c r="AE20" s="1440"/>
      <c r="AF20" s="1440"/>
      <c r="AG20" s="1440"/>
      <c r="AH20" s="1440"/>
      <c r="AI20" s="1440"/>
      <c r="AJ20" s="1440"/>
      <c r="AK20" s="1440"/>
      <c r="AL20" s="1440"/>
      <c r="AM20" s="1440"/>
      <c r="AN20" s="1440"/>
      <c r="AO20" s="1440"/>
      <c r="AP20" s="1440"/>
      <c r="AQ20" s="1440"/>
      <c r="AR20" s="1440"/>
      <c r="AS20" s="1441"/>
      <c r="AT20" s="437"/>
      <c r="AU20" s="438"/>
      <c r="AV20" s="438"/>
      <c r="AW20" s="439"/>
      <c r="AX20" s="439"/>
      <c r="AY20" s="437"/>
      <c r="AZ20" s="437"/>
      <c r="BA20" s="437"/>
      <c r="BB20" s="437"/>
      <c r="BC20" s="437"/>
      <c r="BD20" s="437"/>
    </row>
    <row r="21" spans="1:56" ht="23.25" customHeight="1" x14ac:dyDescent="0.25">
      <c r="A21" s="419"/>
      <c r="B21" s="1392" t="s">
        <v>1141</v>
      </c>
      <c r="C21" s="1393"/>
      <c r="D21" s="1393"/>
      <c r="E21" s="1393"/>
      <c r="F21" s="1393"/>
      <c r="G21" s="1393"/>
      <c r="H21" s="1393"/>
      <c r="I21" s="1393"/>
      <c r="J21" s="1394"/>
      <c r="K21" s="1395"/>
      <c r="L21" s="1396" t="s">
        <v>1142</v>
      </c>
      <c r="M21" s="1397"/>
      <c r="N21" s="1397"/>
      <c r="O21" s="1397"/>
      <c r="P21" s="1397"/>
      <c r="Q21" s="1397"/>
      <c r="R21" s="1397"/>
      <c r="S21" s="1397"/>
      <c r="T21" s="1398"/>
      <c r="U21" s="1399"/>
      <c r="V21" s="1400"/>
      <c r="W21" s="1400"/>
      <c r="X21" s="1401" t="s">
        <v>1143</v>
      </c>
      <c r="Y21" s="1402"/>
      <c r="Z21" s="1402"/>
      <c r="AA21" s="1402"/>
      <c r="AB21" s="1402"/>
      <c r="AC21" s="1402"/>
      <c r="AD21" s="1402"/>
      <c r="AE21" s="1403"/>
      <c r="AF21" s="1404"/>
      <c r="AG21" s="1405"/>
      <c r="AH21" s="1379" t="s">
        <v>1144</v>
      </c>
      <c r="AI21" s="1380"/>
      <c r="AJ21" s="1380"/>
      <c r="AK21" s="1380"/>
      <c r="AL21" s="449"/>
      <c r="AM21" s="1381"/>
      <c r="AN21" s="1382"/>
      <c r="AO21" s="1382"/>
      <c r="AP21" s="1382"/>
      <c r="AQ21" s="1382"/>
      <c r="AR21" s="1382"/>
      <c r="AS21" s="1383"/>
      <c r="AU21" s="417"/>
      <c r="AV21" s="417"/>
      <c r="AW21" s="418"/>
      <c r="AX21" s="418"/>
      <c r="AY21" s="416"/>
      <c r="AZ21" s="416"/>
      <c r="BA21" s="416"/>
      <c r="BB21" s="416"/>
      <c r="BC21" s="416"/>
      <c r="BD21" s="416"/>
    </row>
    <row r="22" spans="1:56" ht="20.25" customHeight="1" x14ac:dyDescent="0.25">
      <c r="A22" s="419"/>
      <c r="B22" s="1384" t="s">
        <v>1145</v>
      </c>
      <c r="C22" s="1385"/>
      <c r="D22" s="1386"/>
      <c r="E22" s="450">
        <v>33</v>
      </c>
      <c r="F22" s="1387" t="s">
        <v>1146</v>
      </c>
      <c r="G22" s="1387"/>
      <c r="H22" s="1387"/>
      <c r="I22" s="1387"/>
      <c r="J22" s="1387"/>
      <c r="K22" s="1387"/>
      <c r="L22" s="1387"/>
      <c r="M22" s="1388"/>
      <c r="N22" s="1388"/>
      <c r="O22" s="1388"/>
      <c r="P22" s="1388"/>
      <c r="Q22" s="1388"/>
      <c r="R22" s="451"/>
      <c r="S22" s="450">
        <v>34</v>
      </c>
      <c r="T22" s="1389" t="s">
        <v>1147</v>
      </c>
      <c r="U22" s="1389"/>
      <c r="V22" s="1389"/>
      <c r="W22" s="1389"/>
      <c r="X22" s="1389"/>
      <c r="Y22" s="452"/>
      <c r="Z22" s="1390"/>
      <c r="AA22" s="1390"/>
      <c r="AB22" s="1390"/>
      <c r="AC22" s="1390"/>
      <c r="AD22" s="1390"/>
      <c r="AE22" s="1390"/>
      <c r="AF22" s="1391"/>
      <c r="AG22" s="453">
        <v>35</v>
      </c>
      <c r="AH22" s="1389" t="s">
        <v>1148</v>
      </c>
      <c r="AI22" s="1389"/>
      <c r="AJ22" s="1389"/>
      <c r="AK22" s="1390"/>
      <c r="AL22" s="1390"/>
      <c r="AM22" s="1390"/>
      <c r="AN22" s="1390"/>
      <c r="AO22" s="1390"/>
      <c r="AP22" s="1390"/>
      <c r="AQ22" s="1390"/>
      <c r="AR22" s="1390"/>
      <c r="AS22" s="1391"/>
      <c r="AU22" s="421"/>
      <c r="AV22" s="417"/>
      <c r="AW22" s="418"/>
      <c r="AX22" s="418"/>
      <c r="AY22" s="416"/>
      <c r="AZ22" s="416"/>
      <c r="BA22" s="416"/>
      <c r="BB22" s="416"/>
      <c r="BC22" s="416"/>
      <c r="BD22" s="416"/>
    </row>
    <row r="23" spans="1:56" ht="15" hidden="1" customHeight="1" x14ac:dyDescent="0.25">
      <c r="A23" s="419"/>
      <c r="B23" s="454"/>
      <c r="C23" s="455"/>
      <c r="D23" s="455"/>
      <c r="E23" s="455"/>
      <c r="F23" s="455"/>
      <c r="G23" s="455"/>
      <c r="H23" s="455"/>
      <c r="I23" s="455"/>
      <c r="J23" s="455"/>
      <c r="K23" s="455"/>
      <c r="L23" s="455"/>
      <c r="M23" s="455"/>
      <c r="N23" s="455"/>
      <c r="O23" s="455"/>
      <c r="P23" s="455"/>
      <c r="Q23" s="455"/>
      <c r="R23" s="455"/>
      <c r="S23" s="456"/>
      <c r="T23" s="456"/>
      <c r="U23" s="456"/>
      <c r="V23" s="457"/>
      <c r="X23" s="457"/>
      <c r="Y23" s="457"/>
      <c r="Z23" s="457"/>
      <c r="AA23" s="457"/>
      <c r="AE23" s="414"/>
      <c r="AF23" s="414"/>
      <c r="AG23" s="414"/>
      <c r="AH23" s="414"/>
      <c r="AI23" s="456"/>
      <c r="AJ23" s="456"/>
      <c r="AK23" s="456"/>
      <c r="AL23" s="414"/>
      <c r="AM23" s="414"/>
      <c r="AN23" s="414"/>
      <c r="AO23" s="414"/>
      <c r="AP23" s="414"/>
      <c r="AQ23" s="414"/>
      <c r="AR23" s="414"/>
      <c r="AS23" s="414"/>
      <c r="AU23" s="421"/>
      <c r="AV23" s="417"/>
      <c r="AW23" s="418"/>
      <c r="AX23" s="418"/>
      <c r="AY23" s="416"/>
      <c r="AZ23" s="416"/>
      <c r="BA23" s="416"/>
      <c r="BB23" s="416"/>
      <c r="BC23" s="416"/>
      <c r="BD23" s="416"/>
    </row>
    <row r="24" spans="1:56" ht="21" customHeight="1" x14ac:dyDescent="0.25">
      <c r="A24" s="419"/>
      <c r="B24" s="1351" t="s">
        <v>19</v>
      </c>
      <c r="C24" s="1372" t="s">
        <v>1149</v>
      </c>
      <c r="D24" s="1376"/>
      <c r="E24" s="1376"/>
      <c r="F24" s="1376"/>
      <c r="G24" s="1376"/>
      <c r="H24" s="1376"/>
      <c r="I24" s="1376"/>
      <c r="J24" s="1376"/>
      <c r="K24" s="1376"/>
      <c r="L24" s="1376"/>
      <c r="M24" s="1376"/>
      <c r="N24" s="1376"/>
      <c r="O24" s="1376"/>
      <c r="P24" s="458">
        <v>36</v>
      </c>
      <c r="Q24" s="1200">
        <f>+ROUND((SUMIF('Sumaria renta 20x3'!F:F,'110 Renta 20x3'!P24,'Sumaria renta 20x3'!E:E)),-3)</f>
        <v>0</v>
      </c>
      <c r="R24" s="1200"/>
      <c r="S24" s="1200"/>
      <c r="T24" s="1200"/>
      <c r="U24" s="1200"/>
      <c r="V24" s="1200"/>
      <c r="W24" s="1200"/>
      <c r="X24" s="1200"/>
      <c r="Y24" s="1200"/>
      <c r="Z24" s="1278" t="s">
        <v>125</v>
      </c>
      <c r="AA24" s="1344" t="s">
        <v>1029</v>
      </c>
      <c r="AB24" s="1344"/>
      <c r="AC24" s="1344"/>
      <c r="AD24" s="1344"/>
      <c r="AE24" s="1344"/>
      <c r="AF24" s="1344"/>
      <c r="AG24" s="1344"/>
      <c r="AH24" s="1344"/>
      <c r="AI24" s="1344"/>
      <c r="AJ24" s="1345"/>
      <c r="AK24" s="459">
        <v>76</v>
      </c>
      <c r="AL24" s="1199">
        <f>+ROUND((RP!C17),-3)</f>
        <v>0</v>
      </c>
      <c r="AM24" s="1200"/>
      <c r="AN24" s="1200"/>
      <c r="AO24" s="1200"/>
      <c r="AP24" s="1200"/>
      <c r="AQ24" s="1200"/>
      <c r="AR24" s="1200"/>
      <c r="AS24" s="1201"/>
      <c r="AT24" s="460"/>
      <c r="AU24" s="421"/>
      <c r="AV24" s="417"/>
      <c r="AW24" s="418"/>
      <c r="AX24" s="418"/>
      <c r="AY24" s="416"/>
      <c r="AZ24" s="416"/>
      <c r="BA24" s="416"/>
      <c r="BB24" s="416"/>
      <c r="BC24" s="416"/>
      <c r="BD24" s="416"/>
    </row>
    <row r="25" spans="1:56" ht="20.25" customHeight="1" x14ac:dyDescent="0.25">
      <c r="A25" s="419"/>
      <c r="B25" s="1278"/>
      <c r="C25" s="1362" t="s">
        <v>1150</v>
      </c>
      <c r="D25" s="1362"/>
      <c r="E25" s="1362"/>
      <c r="F25" s="1362"/>
      <c r="G25" s="1362"/>
      <c r="H25" s="1362"/>
      <c r="I25" s="1362"/>
      <c r="J25" s="1362"/>
      <c r="K25" s="1362"/>
      <c r="L25" s="1362"/>
      <c r="M25" s="1362"/>
      <c r="N25" s="1362"/>
      <c r="O25" s="1362"/>
      <c r="P25" s="461">
        <v>37</v>
      </c>
      <c r="Q25" s="1274">
        <f>+ROUND((SUMIF('Sumaria renta 20x3'!F:F,'110 Renta 20x3'!P25,'Sumaria renta 20x3'!E:E)),-3)</f>
        <v>0</v>
      </c>
      <c r="R25" s="1274"/>
      <c r="S25" s="1274"/>
      <c r="T25" s="1274"/>
      <c r="U25" s="1274"/>
      <c r="V25" s="1274"/>
      <c r="W25" s="1274"/>
      <c r="X25" s="1274"/>
      <c r="Y25" s="1274"/>
      <c r="Z25" s="1278"/>
      <c r="AA25" s="1357" t="s">
        <v>1151</v>
      </c>
      <c r="AB25" s="1357"/>
      <c r="AC25" s="1357"/>
      <c r="AD25" s="1357"/>
      <c r="AE25" s="1357"/>
      <c r="AF25" s="1357"/>
      <c r="AG25" s="1357"/>
      <c r="AH25" s="1357"/>
      <c r="AI25" s="1357"/>
      <c r="AJ25" s="1357"/>
      <c r="AK25" s="461">
        <v>77</v>
      </c>
      <c r="AL25" s="1377"/>
      <c r="AM25" s="1274"/>
      <c r="AN25" s="1274"/>
      <c r="AO25" s="1274"/>
      <c r="AP25" s="1274"/>
      <c r="AQ25" s="1274"/>
      <c r="AR25" s="1274"/>
      <c r="AS25" s="1378"/>
      <c r="AU25" s="421"/>
      <c r="AV25" s="417"/>
      <c r="AW25" s="418"/>
      <c r="AX25" s="418"/>
      <c r="AY25" s="416"/>
      <c r="AZ25" s="416"/>
      <c r="BA25" s="416"/>
      <c r="BB25" s="416"/>
      <c r="BC25" s="416"/>
      <c r="BD25" s="416"/>
    </row>
    <row r="26" spans="1:56" ht="19.5" customHeight="1" x14ac:dyDescent="0.25">
      <c r="A26" s="419"/>
      <c r="B26" s="1278"/>
      <c r="C26" s="1297" t="s">
        <v>1152</v>
      </c>
      <c r="D26" s="1297"/>
      <c r="E26" s="1297"/>
      <c r="F26" s="1297"/>
      <c r="G26" s="1297"/>
      <c r="H26" s="1297"/>
      <c r="I26" s="1297"/>
      <c r="J26" s="1297"/>
      <c r="K26" s="1297"/>
      <c r="L26" s="1297"/>
      <c r="M26" s="1297"/>
      <c r="N26" s="1297"/>
      <c r="O26" s="1297"/>
      <c r="P26" s="458">
        <v>38</v>
      </c>
      <c r="Q26" s="1200">
        <f>+ROUND((SUMIF('Sumaria renta 20x3'!F:F,'110 Renta 20x3'!P26,'Sumaria renta 20x3'!E:E)),-3)</f>
        <v>0</v>
      </c>
      <c r="R26" s="1200"/>
      <c r="S26" s="1200"/>
      <c r="T26" s="1200"/>
      <c r="U26" s="1200"/>
      <c r="V26" s="1200"/>
      <c r="W26" s="1200"/>
      <c r="X26" s="1200"/>
      <c r="Y26" s="1200"/>
      <c r="Z26" s="1278"/>
      <c r="AA26" s="1344" t="s">
        <v>1153</v>
      </c>
      <c r="AB26" s="1344"/>
      <c r="AC26" s="1344"/>
      <c r="AD26" s="1344"/>
      <c r="AE26" s="1344"/>
      <c r="AF26" s="1344"/>
      <c r="AG26" s="1344"/>
      <c r="AH26" s="1344"/>
      <c r="AI26" s="1344"/>
      <c r="AJ26" s="1345"/>
      <c r="AK26" s="458">
        <v>78</v>
      </c>
      <c r="AL26" s="1199"/>
      <c r="AM26" s="1200"/>
      <c r="AN26" s="1200"/>
      <c r="AO26" s="1200"/>
      <c r="AP26" s="1200"/>
      <c r="AQ26" s="1200"/>
      <c r="AR26" s="1200"/>
      <c r="AS26" s="1201"/>
      <c r="AU26" s="417"/>
      <c r="AV26" s="421"/>
      <c r="AW26" s="462"/>
      <c r="AX26" s="418"/>
      <c r="AY26" s="416"/>
      <c r="AZ26" s="416"/>
      <c r="BA26" s="416"/>
      <c r="BB26" s="416"/>
      <c r="BC26" s="416"/>
      <c r="BD26" s="416"/>
    </row>
    <row r="27" spans="1:56" ht="19.5" customHeight="1" x14ac:dyDescent="0.25">
      <c r="A27" s="419"/>
      <c r="B27" s="1278"/>
      <c r="C27" s="1362" t="s">
        <v>143</v>
      </c>
      <c r="D27" s="1362"/>
      <c r="E27" s="1362"/>
      <c r="F27" s="1362"/>
      <c r="G27" s="1362"/>
      <c r="H27" s="1362"/>
      <c r="I27" s="1362"/>
      <c r="J27" s="1362"/>
      <c r="K27" s="1362"/>
      <c r="L27" s="1362"/>
      <c r="M27" s="1362"/>
      <c r="N27" s="1362"/>
      <c r="O27" s="1362"/>
      <c r="P27" s="461">
        <v>39</v>
      </c>
      <c r="Q27" s="1274">
        <f>+ROUND((SUMIF('Sumaria renta 20x3'!F:F,'110 Renta 20x3'!P27,'Sumaria renta 20x3'!E:E)),-3)</f>
        <v>0</v>
      </c>
      <c r="R27" s="1274"/>
      <c r="S27" s="1274"/>
      <c r="T27" s="1274"/>
      <c r="U27" s="1274"/>
      <c r="V27" s="1274"/>
      <c r="W27" s="1274"/>
      <c r="X27" s="1274"/>
      <c r="Y27" s="1274"/>
      <c r="Z27" s="1352"/>
      <c r="AA27" s="1373" t="s">
        <v>1154</v>
      </c>
      <c r="AB27" s="1374"/>
      <c r="AC27" s="1374"/>
      <c r="AD27" s="1374"/>
      <c r="AE27" s="1374"/>
      <c r="AF27" s="1374"/>
      <c r="AG27" s="1374"/>
      <c r="AH27" s="1374"/>
      <c r="AI27" s="1374"/>
      <c r="AJ27" s="1375"/>
      <c r="AK27" s="463">
        <v>79</v>
      </c>
      <c r="AL27" s="1319">
        <f>IF(Q63&gt;AL24,Q63,AL24)-AL25+AL26</f>
        <v>0</v>
      </c>
      <c r="AM27" s="1320"/>
      <c r="AN27" s="1320"/>
      <c r="AO27" s="1320"/>
      <c r="AP27" s="1320"/>
      <c r="AQ27" s="1320"/>
      <c r="AR27" s="1320"/>
      <c r="AS27" s="1321"/>
      <c r="AT27" s="1652">
        <f>+'Sumaria renta 20x3'!E102-'Sumaria renta 20x3'!E140</f>
        <v>5453581071.6709175</v>
      </c>
      <c r="AU27" s="417">
        <f>+AL27-AT27</f>
        <v>-5453581071.6709175</v>
      </c>
      <c r="AV27" s="417"/>
      <c r="AW27" s="418"/>
      <c r="AX27" s="418"/>
      <c r="AY27" s="416"/>
      <c r="AZ27" s="416"/>
      <c r="BA27" s="416"/>
      <c r="BB27" s="416"/>
      <c r="BC27" s="416"/>
      <c r="BD27" s="416"/>
    </row>
    <row r="28" spans="1:56" ht="18" customHeight="1" x14ac:dyDescent="0.25">
      <c r="A28" s="419"/>
      <c r="B28" s="1278"/>
      <c r="C28" s="1372" t="s">
        <v>813</v>
      </c>
      <c r="D28" s="1372"/>
      <c r="E28" s="1372"/>
      <c r="F28" s="1372"/>
      <c r="G28" s="1372"/>
      <c r="H28" s="1372"/>
      <c r="I28" s="1372"/>
      <c r="J28" s="1372"/>
      <c r="K28" s="1372"/>
      <c r="L28" s="1372"/>
      <c r="M28" s="1372"/>
      <c r="N28" s="1372"/>
      <c r="O28" s="1372"/>
      <c r="P28" s="458">
        <v>40</v>
      </c>
      <c r="Q28" s="1200">
        <f>+ROUND((SUMIF('Sumaria renta 20x3'!F:F,'110 Renta 20x3'!P28,'Sumaria renta 20x3'!E:E)),-3)</f>
        <v>0</v>
      </c>
      <c r="R28" s="1200"/>
      <c r="S28" s="1200"/>
      <c r="T28" s="1200"/>
      <c r="U28" s="1200"/>
      <c r="V28" s="1200"/>
      <c r="W28" s="1200"/>
      <c r="X28" s="1200"/>
      <c r="Y28" s="1200"/>
      <c r="Z28" s="1351" t="s">
        <v>1155</v>
      </c>
      <c r="AA28" s="1329" t="s">
        <v>1156</v>
      </c>
      <c r="AB28" s="1279"/>
      <c r="AC28" s="1279"/>
      <c r="AD28" s="1279"/>
      <c r="AE28" s="1279"/>
      <c r="AF28" s="1279"/>
      <c r="AG28" s="1279"/>
      <c r="AH28" s="1279"/>
      <c r="AI28" s="1279"/>
      <c r="AJ28" s="1330"/>
      <c r="AK28" s="464">
        <v>80</v>
      </c>
      <c r="AL28" s="1331"/>
      <c r="AM28" s="1332"/>
      <c r="AN28" s="1332"/>
      <c r="AO28" s="1332"/>
      <c r="AP28" s="1332"/>
      <c r="AQ28" s="1332"/>
      <c r="AR28" s="1332"/>
      <c r="AS28" s="1333"/>
      <c r="AT28" s="1653">
        <f>+'Imp corriente'!D119</f>
        <v>7084219728.4799995</v>
      </c>
      <c r="AU28" s="417">
        <f>+AL27-AT28</f>
        <v>-7084219728.4799995</v>
      </c>
      <c r="AV28" s="417"/>
      <c r="AW28" s="418"/>
      <c r="AX28" s="418"/>
      <c r="AY28" s="416"/>
      <c r="AZ28" s="416"/>
      <c r="BA28" s="416"/>
      <c r="BB28" s="416"/>
      <c r="BC28" s="416"/>
      <c r="BD28" s="416"/>
    </row>
    <row r="29" spans="1:56" ht="19.5" customHeight="1" x14ac:dyDescent="0.25">
      <c r="A29" s="419"/>
      <c r="B29" s="1278"/>
      <c r="C29" s="1362" t="s">
        <v>72</v>
      </c>
      <c r="D29" s="1362"/>
      <c r="E29" s="1362"/>
      <c r="F29" s="1362"/>
      <c r="G29" s="1362"/>
      <c r="H29" s="1362"/>
      <c r="I29" s="1362"/>
      <c r="J29" s="1362"/>
      <c r="K29" s="1362"/>
      <c r="L29" s="1362"/>
      <c r="M29" s="1362"/>
      <c r="N29" s="1362"/>
      <c r="O29" s="1362"/>
      <c r="P29" s="461">
        <v>41</v>
      </c>
      <c r="Q29" s="1274">
        <f>+ROUND((SUMIF('Sumaria renta 20x3'!F:F,'110 Renta 20x3'!P29,'Sumaria renta 20x3'!E:E)),-3)</f>
        <v>0</v>
      </c>
      <c r="R29" s="1274"/>
      <c r="S29" s="1274"/>
      <c r="T29" s="1274"/>
      <c r="U29" s="1274"/>
      <c r="V29" s="1274"/>
      <c r="W29" s="1274"/>
      <c r="X29" s="1274"/>
      <c r="Y29" s="1274"/>
      <c r="Z29" s="1278"/>
      <c r="AA29" s="1356" t="s">
        <v>1157</v>
      </c>
      <c r="AB29" s="1357"/>
      <c r="AC29" s="1357"/>
      <c r="AD29" s="1357"/>
      <c r="AE29" s="1357"/>
      <c r="AF29" s="1357"/>
      <c r="AG29" s="1357"/>
      <c r="AH29" s="1357"/>
      <c r="AI29" s="1357"/>
      <c r="AJ29" s="1357"/>
      <c r="AK29" s="461">
        <v>81</v>
      </c>
      <c r="AL29" s="1252"/>
      <c r="AM29" s="1253"/>
      <c r="AN29" s="1253"/>
      <c r="AO29" s="1253"/>
      <c r="AP29" s="1253"/>
      <c r="AQ29" s="1253"/>
      <c r="AR29" s="1253"/>
      <c r="AS29" s="1254"/>
      <c r="AU29" s="417"/>
      <c r="AV29" s="417"/>
      <c r="AW29" s="418"/>
      <c r="AX29" s="418"/>
      <c r="AY29" s="416"/>
      <c r="AZ29" s="416"/>
      <c r="BA29" s="416"/>
      <c r="BB29" s="416"/>
      <c r="BC29" s="416"/>
      <c r="BD29" s="416"/>
    </row>
    <row r="30" spans="1:56" ht="18" customHeight="1" x14ac:dyDescent="0.25">
      <c r="A30" s="419"/>
      <c r="B30" s="1278"/>
      <c r="C30" s="1297" t="s">
        <v>1158</v>
      </c>
      <c r="D30" s="1297"/>
      <c r="E30" s="1297"/>
      <c r="F30" s="1297"/>
      <c r="G30" s="1297"/>
      <c r="H30" s="1297"/>
      <c r="I30" s="1297"/>
      <c r="J30" s="1297"/>
      <c r="K30" s="1297"/>
      <c r="L30" s="1297"/>
      <c r="M30" s="1297"/>
      <c r="N30" s="1297"/>
      <c r="O30" s="1297"/>
      <c r="P30" s="458">
        <v>42</v>
      </c>
      <c r="Q30" s="1200">
        <f>+ROUND((SUMIF('Sumaria renta 20x3'!F:F,'110 Renta 20x3'!P30,'Sumaria renta 20x3'!E:E)),-3)</f>
        <v>0</v>
      </c>
      <c r="R30" s="1200"/>
      <c r="S30" s="1200"/>
      <c r="T30" s="1200"/>
      <c r="U30" s="1200"/>
      <c r="V30" s="1200"/>
      <c r="W30" s="1200"/>
      <c r="X30" s="1200"/>
      <c r="Y30" s="1200"/>
      <c r="Z30" s="1278"/>
      <c r="AA30" s="1343" t="s">
        <v>1159</v>
      </c>
      <c r="AB30" s="1344"/>
      <c r="AC30" s="1344"/>
      <c r="AD30" s="1344"/>
      <c r="AE30" s="1344"/>
      <c r="AF30" s="1344"/>
      <c r="AG30" s="1344"/>
      <c r="AH30" s="1344"/>
      <c r="AI30" s="1344"/>
      <c r="AJ30" s="1344"/>
      <c r="AK30" s="458">
        <v>82</v>
      </c>
      <c r="AL30" s="1259"/>
      <c r="AM30" s="1260"/>
      <c r="AN30" s="1260"/>
      <c r="AO30" s="1260"/>
      <c r="AP30" s="1260"/>
      <c r="AQ30" s="1260"/>
      <c r="AR30" s="1260"/>
      <c r="AS30" s="1261"/>
      <c r="AT30" s="465"/>
      <c r="AU30" s="421"/>
      <c r="AV30" s="417"/>
      <c r="AW30" s="418"/>
      <c r="AX30" s="418"/>
      <c r="AY30" s="416"/>
      <c r="AZ30" s="416"/>
      <c r="BA30" s="416"/>
      <c r="BB30" s="416"/>
      <c r="BC30" s="416"/>
      <c r="BD30" s="416"/>
    </row>
    <row r="31" spans="1:56" ht="18" customHeight="1" x14ac:dyDescent="0.25">
      <c r="A31" s="419"/>
      <c r="B31" s="1278"/>
      <c r="C31" s="1362" t="s">
        <v>1160</v>
      </c>
      <c r="D31" s="1362"/>
      <c r="E31" s="1362"/>
      <c r="F31" s="1362"/>
      <c r="G31" s="1362"/>
      <c r="H31" s="1362"/>
      <c r="I31" s="1362"/>
      <c r="J31" s="1362"/>
      <c r="K31" s="1362"/>
      <c r="L31" s="1362"/>
      <c r="M31" s="1362"/>
      <c r="N31" s="1362"/>
      <c r="O31" s="1362"/>
      <c r="P31" s="461">
        <v>43</v>
      </c>
      <c r="Q31" s="1274">
        <f>+ROUND((SUMIF('Sumaria renta 20x3'!F:F,'110 Renta 20x3'!P31,'Sumaria renta 20x3'!E:E)),-3)</f>
        <v>0</v>
      </c>
      <c r="R31" s="1274"/>
      <c r="S31" s="1274"/>
      <c r="T31" s="1274"/>
      <c r="U31" s="1274"/>
      <c r="V31" s="1274"/>
      <c r="W31" s="1274"/>
      <c r="X31" s="1274"/>
      <c r="Y31" s="1274"/>
      <c r="Z31" s="1278"/>
      <c r="AA31" s="1341" t="s">
        <v>1161</v>
      </c>
      <c r="AB31" s="1273"/>
      <c r="AC31" s="1273"/>
      <c r="AD31" s="1273"/>
      <c r="AE31" s="1273"/>
      <c r="AF31" s="1273"/>
      <c r="AG31" s="1273"/>
      <c r="AH31" s="1273"/>
      <c r="AI31" s="1273"/>
      <c r="AJ31" s="1243"/>
      <c r="AK31" s="466">
        <v>83</v>
      </c>
      <c r="AL31" s="1371"/>
      <c r="AM31" s="1253"/>
      <c r="AN31" s="1253"/>
      <c r="AO31" s="1253"/>
      <c r="AP31" s="1253"/>
      <c r="AQ31" s="1253"/>
      <c r="AR31" s="1253"/>
      <c r="AS31" s="1254"/>
      <c r="AU31" s="417"/>
      <c r="AV31" s="417"/>
      <c r="AW31" s="418"/>
      <c r="AX31" s="418"/>
      <c r="AY31" s="416"/>
      <c r="AZ31" s="416"/>
      <c r="BA31" s="416"/>
      <c r="BB31" s="416"/>
      <c r="BC31" s="416"/>
      <c r="BD31" s="416"/>
    </row>
    <row r="32" spans="1:56" ht="18" customHeight="1" x14ac:dyDescent="0.25">
      <c r="A32" s="419"/>
      <c r="B32" s="1278"/>
      <c r="C32" s="1303" t="s">
        <v>1162</v>
      </c>
      <c r="D32" s="1303"/>
      <c r="E32" s="1303"/>
      <c r="F32" s="1303"/>
      <c r="G32" s="1303"/>
      <c r="H32" s="1303"/>
      <c r="I32" s="1303"/>
      <c r="J32" s="1303"/>
      <c r="K32" s="1303"/>
      <c r="L32" s="1303"/>
      <c r="M32" s="1303"/>
      <c r="N32" s="1303"/>
      <c r="O32" s="1303"/>
      <c r="P32" s="459">
        <v>44</v>
      </c>
      <c r="Q32" s="1218">
        <f>SUM(Q24:Y31)</f>
        <v>0</v>
      </c>
      <c r="R32" s="1218"/>
      <c r="S32" s="1218"/>
      <c r="T32" s="1218"/>
      <c r="U32" s="1218"/>
      <c r="V32" s="1218"/>
      <c r="W32" s="1218"/>
      <c r="X32" s="1218"/>
      <c r="Y32" s="1218"/>
      <c r="Z32" s="1278"/>
      <c r="AA32" s="1359" t="s">
        <v>1163</v>
      </c>
      <c r="AB32" s="1272"/>
      <c r="AC32" s="1272"/>
      <c r="AD32" s="1272"/>
      <c r="AE32" s="1272"/>
      <c r="AF32" s="1272"/>
      <c r="AG32" s="1272"/>
      <c r="AH32" s="1272"/>
      <c r="AI32" s="1272"/>
      <c r="AJ32" s="1360"/>
      <c r="AK32" s="467">
        <v>84</v>
      </c>
      <c r="AL32" s="1361"/>
      <c r="AM32" s="1260"/>
      <c r="AN32" s="1260"/>
      <c r="AO32" s="1260"/>
      <c r="AP32" s="1260"/>
      <c r="AQ32" s="1260"/>
      <c r="AR32" s="1260"/>
      <c r="AS32" s="1261"/>
      <c r="AU32" s="417"/>
      <c r="AV32" s="417"/>
      <c r="AW32" s="418"/>
      <c r="AX32" s="418"/>
      <c r="AY32" s="416"/>
      <c r="AZ32" s="416"/>
      <c r="BA32" s="416"/>
      <c r="BB32" s="416"/>
      <c r="BC32" s="416"/>
      <c r="BD32" s="416"/>
    </row>
    <row r="33" spans="1:56" ht="19.5" customHeight="1" x14ac:dyDescent="0.25">
      <c r="A33" s="419"/>
      <c r="B33" s="1278"/>
      <c r="C33" s="1362" t="s">
        <v>17</v>
      </c>
      <c r="D33" s="1362"/>
      <c r="E33" s="1362"/>
      <c r="F33" s="1362"/>
      <c r="G33" s="1362"/>
      <c r="H33" s="1362"/>
      <c r="I33" s="1362"/>
      <c r="J33" s="1362"/>
      <c r="K33" s="1362"/>
      <c r="L33" s="1362"/>
      <c r="M33" s="1362"/>
      <c r="N33" s="1362"/>
      <c r="O33" s="1362"/>
      <c r="P33" s="461">
        <v>45</v>
      </c>
      <c r="Q33" s="1274">
        <f>+ROUND((SUMIF('Sumaria renta 20x3'!F:F,'110 Renta 20x3'!P33,'Sumaria renta 20x3'!E:E)),-3)</f>
        <v>0</v>
      </c>
      <c r="R33" s="1274"/>
      <c r="S33" s="1274"/>
      <c r="T33" s="1274"/>
      <c r="U33" s="1274"/>
      <c r="V33" s="1274"/>
      <c r="W33" s="1274"/>
      <c r="X33" s="1274"/>
      <c r="Y33" s="1274"/>
      <c r="Z33" s="1278"/>
      <c r="AA33" s="1363" t="s">
        <v>1164</v>
      </c>
      <c r="AB33" s="1364"/>
      <c r="AC33" s="1364"/>
      <c r="AD33" s="1364"/>
      <c r="AE33" s="1364"/>
      <c r="AF33" s="1364"/>
      <c r="AG33" s="1364"/>
      <c r="AH33" s="1364"/>
      <c r="AI33" s="1364"/>
      <c r="AJ33" s="1365"/>
      <c r="AK33" s="468">
        <v>85</v>
      </c>
      <c r="AL33" s="1366">
        <f>IF(((AL28+AL29-AL30-AL31-AL32)&gt;0),(AL28+AL29-AL30-AL31-AL32),0)</f>
        <v>0</v>
      </c>
      <c r="AM33" s="1231"/>
      <c r="AN33" s="1231"/>
      <c r="AO33" s="1231"/>
      <c r="AP33" s="1231"/>
      <c r="AQ33" s="1231"/>
      <c r="AR33" s="1231"/>
      <c r="AS33" s="1232"/>
      <c r="AT33" s="465"/>
      <c r="AU33" s="417"/>
      <c r="AV33" s="417"/>
      <c r="AW33" s="418"/>
      <c r="AX33" s="418"/>
      <c r="AY33" s="416"/>
      <c r="AZ33" s="416"/>
      <c r="BA33" s="416"/>
      <c r="BB33" s="416"/>
      <c r="BC33" s="416"/>
      <c r="BD33" s="416"/>
    </row>
    <row r="34" spans="1:56" ht="18" customHeight="1" x14ac:dyDescent="0.25">
      <c r="A34" s="419"/>
      <c r="B34" s="1352"/>
      <c r="C34" s="1303" t="s">
        <v>1165</v>
      </c>
      <c r="D34" s="1303"/>
      <c r="E34" s="1303"/>
      <c r="F34" s="1303"/>
      <c r="G34" s="1303"/>
      <c r="H34" s="1303"/>
      <c r="I34" s="1303"/>
      <c r="J34" s="1303"/>
      <c r="K34" s="1303"/>
      <c r="L34" s="1303"/>
      <c r="M34" s="1303"/>
      <c r="N34" s="1303"/>
      <c r="O34" s="1303"/>
      <c r="P34" s="459">
        <v>46</v>
      </c>
      <c r="Q34" s="1370">
        <f>IF(Q32-Q33&gt;0,Q32-Q33,0)</f>
        <v>0</v>
      </c>
      <c r="R34" s="1370"/>
      <c r="S34" s="1370"/>
      <c r="T34" s="1370"/>
      <c r="U34" s="1370"/>
      <c r="V34" s="1370"/>
      <c r="W34" s="1370"/>
      <c r="X34" s="1370"/>
      <c r="Y34" s="1370"/>
      <c r="Z34" s="469"/>
      <c r="AA34" s="1329" t="s">
        <v>1166</v>
      </c>
      <c r="AB34" s="1279"/>
      <c r="AC34" s="1279"/>
      <c r="AD34" s="1279"/>
      <c r="AE34" s="1279"/>
      <c r="AF34" s="1279"/>
      <c r="AG34" s="1279"/>
      <c r="AH34" s="1279"/>
      <c r="AI34" s="1279"/>
      <c r="AJ34" s="1330"/>
      <c r="AK34" s="464">
        <v>86</v>
      </c>
      <c r="AL34" s="1331">
        <f>+ROUND((AL27*35%),-3)</f>
        <v>0</v>
      </c>
      <c r="AM34" s="1332"/>
      <c r="AN34" s="1332"/>
      <c r="AO34" s="1332"/>
      <c r="AP34" s="1332"/>
      <c r="AQ34" s="1332"/>
      <c r="AR34" s="1332"/>
      <c r="AS34" s="1333"/>
      <c r="AU34" s="417"/>
      <c r="AV34" s="417"/>
      <c r="AW34" s="470"/>
      <c r="AX34" s="418"/>
      <c r="AY34" s="416"/>
      <c r="AZ34" s="416"/>
      <c r="BA34" s="416"/>
      <c r="BB34" s="416"/>
      <c r="BC34" s="416"/>
      <c r="BD34" s="416"/>
    </row>
    <row r="35" spans="1:56" ht="18" customHeight="1" x14ac:dyDescent="0.25">
      <c r="A35" s="419"/>
      <c r="B35" s="1351" t="s">
        <v>622</v>
      </c>
      <c r="C35" s="1353" t="s">
        <v>1167</v>
      </c>
      <c r="D35" s="1354"/>
      <c r="E35" s="1354"/>
      <c r="F35" s="1354"/>
      <c r="G35" s="1354"/>
      <c r="H35" s="1354"/>
      <c r="I35" s="1354"/>
      <c r="J35" s="1354"/>
      <c r="K35" s="1354"/>
      <c r="L35" s="1354"/>
      <c r="M35" s="1354"/>
      <c r="N35" s="1354"/>
      <c r="O35" s="1355"/>
      <c r="P35" s="471">
        <v>47</v>
      </c>
      <c r="Q35" s="1274">
        <f>+ROUND((SUMIF('Sumaria renta 20x3'!F:F,'110 Renta 20x3'!P35,'Sumaria renta 20x3'!E:E)),-3)</f>
        <v>0</v>
      </c>
      <c r="R35" s="1274"/>
      <c r="S35" s="1274"/>
      <c r="T35" s="1274"/>
      <c r="U35" s="1274"/>
      <c r="V35" s="1274"/>
      <c r="W35" s="1274"/>
      <c r="X35" s="1274"/>
      <c r="Y35" s="1274"/>
      <c r="Z35" s="1351" t="s">
        <v>1168</v>
      </c>
      <c r="AA35" s="1356" t="s">
        <v>1169</v>
      </c>
      <c r="AB35" s="1357"/>
      <c r="AC35" s="1357"/>
      <c r="AD35" s="1357"/>
      <c r="AE35" s="1357"/>
      <c r="AF35" s="1357"/>
      <c r="AG35" s="1357"/>
      <c r="AH35" s="1357"/>
      <c r="AI35" s="1357"/>
      <c r="AJ35" s="1358"/>
      <c r="AK35" s="461">
        <v>87</v>
      </c>
      <c r="AL35" s="1252"/>
      <c r="AM35" s="1253"/>
      <c r="AN35" s="1253"/>
      <c r="AO35" s="1253"/>
      <c r="AP35" s="1253"/>
      <c r="AQ35" s="1253"/>
      <c r="AR35" s="1253"/>
      <c r="AS35" s="1254"/>
      <c r="AU35" s="417"/>
      <c r="AV35" s="417"/>
      <c r="AW35" s="418"/>
      <c r="AX35" s="418"/>
      <c r="AY35" s="416"/>
      <c r="AZ35" s="416"/>
      <c r="BA35" s="416"/>
      <c r="BB35" s="416"/>
      <c r="BC35" s="416"/>
      <c r="BD35" s="416"/>
    </row>
    <row r="36" spans="1:56" ht="18" customHeight="1" x14ac:dyDescent="0.25">
      <c r="A36" s="419"/>
      <c r="B36" s="1278"/>
      <c r="C36" s="1367" t="s">
        <v>126</v>
      </c>
      <c r="D36" s="1368"/>
      <c r="E36" s="1368"/>
      <c r="F36" s="1368"/>
      <c r="G36" s="1368"/>
      <c r="H36" s="1368"/>
      <c r="I36" s="1368"/>
      <c r="J36" s="1368"/>
      <c r="K36" s="1368"/>
      <c r="L36" s="1368"/>
      <c r="M36" s="1368"/>
      <c r="N36" s="1368"/>
      <c r="O36" s="1369"/>
      <c r="P36" s="458">
        <v>48</v>
      </c>
      <c r="Q36" s="1200">
        <f>+ROUND((SUMIF('Sumaria renta 20x3'!F:F,'110 Renta 20x3'!P36,'Sumaria renta 20x3'!E:E)),-3)</f>
        <v>0</v>
      </c>
      <c r="R36" s="1200"/>
      <c r="S36" s="1200"/>
      <c r="T36" s="1200"/>
      <c r="U36" s="1200"/>
      <c r="V36" s="1200"/>
      <c r="W36" s="1200"/>
      <c r="X36" s="1200"/>
      <c r="Y36" s="1200"/>
      <c r="Z36" s="1278"/>
      <c r="AA36" s="1343" t="s">
        <v>1170</v>
      </c>
      <c r="AB36" s="1344"/>
      <c r="AC36" s="1344"/>
      <c r="AD36" s="1344"/>
      <c r="AE36" s="1344"/>
      <c r="AF36" s="1344"/>
      <c r="AG36" s="1344"/>
      <c r="AH36" s="1344"/>
      <c r="AI36" s="1344"/>
      <c r="AJ36" s="1345"/>
      <c r="AK36" s="458">
        <v>88</v>
      </c>
      <c r="AL36" s="1259"/>
      <c r="AM36" s="1260"/>
      <c r="AN36" s="1260"/>
      <c r="AO36" s="1260"/>
      <c r="AP36" s="1260"/>
      <c r="AQ36" s="1260"/>
      <c r="AR36" s="1260"/>
      <c r="AS36" s="1261"/>
      <c r="AU36" s="417"/>
      <c r="AV36" s="417"/>
      <c r="AW36" s="418"/>
      <c r="AX36" s="418"/>
      <c r="AY36" s="416"/>
      <c r="AZ36" s="416"/>
      <c r="BA36" s="416"/>
      <c r="BB36" s="416"/>
      <c r="BC36" s="416"/>
      <c r="BD36" s="416"/>
    </row>
    <row r="37" spans="1:56" ht="19.5" customHeight="1" x14ac:dyDescent="0.25">
      <c r="A37" s="419"/>
      <c r="B37" s="1278"/>
      <c r="C37" s="472"/>
      <c r="D37" s="1327" t="s">
        <v>1171</v>
      </c>
      <c r="E37" s="1327"/>
      <c r="F37" s="1327"/>
      <c r="G37" s="1327"/>
      <c r="H37" s="1327"/>
      <c r="I37" s="1327"/>
      <c r="J37" s="1327"/>
      <c r="K37" s="1327"/>
      <c r="L37" s="1327"/>
      <c r="M37" s="1327"/>
      <c r="N37" s="1327"/>
      <c r="O37" s="1328"/>
      <c r="P37" s="473">
        <v>49</v>
      </c>
      <c r="Q37" s="1274">
        <f>+ROUND((SUMIF('Sumaria renta 20x3'!F:F,'110 Renta 20x3'!P37,'Sumaria renta 20x3'!E:E)),-3)</f>
        <v>0</v>
      </c>
      <c r="R37" s="1274"/>
      <c r="S37" s="1274"/>
      <c r="T37" s="1274"/>
      <c r="U37" s="1274"/>
      <c r="V37" s="1274"/>
      <c r="W37" s="1274"/>
      <c r="X37" s="1274"/>
      <c r="Y37" s="1274"/>
      <c r="Z37" s="1278"/>
      <c r="AA37" s="1356" t="s">
        <v>1172</v>
      </c>
      <c r="AB37" s="1357"/>
      <c r="AC37" s="1357"/>
      <c r="AD37" s="1357"/>
      <c r="AE37" s="1357"/>
      <c r="AF37" s="1357"/>
      <c r="AG37" s="1357"/>
      <c r="AH37" s="1357"/>
      <c r="AI37" s="1357"/>
      <c r="AJ37" s="1358"/>
      <c r="AK37" s="461">
        <v>89</v>
      </c>
      <c r="AL37" s="1252"/>
      <c r="AM37" s="1253"/>
      <c r="AN37" s="1253"/>
      <c r="AO37" s="1253"/>
      <c r="AP37" s="1253"/>
      <c r="AQ37" s="1253"/>
      <c r="AR37" s="1253"/>
      <c r="AS37" s="1254"/>
      <c r="AU37" s="417"/>
      <c r="AV37" s="417"/>
      <c r="AW37" s="418"/>
      <c r="AX37" s="418"/>
      <c r="AY37" s="416"/>
      <c r="AZ37" s="416"/>
      <c r="BA37" s="416"/>
      <c r="BB37" s="416"/>
      <c r="BC37" s="416"/>
      <c r="BD37" s="416"/>
    </row>
    <row r="38" spans="1:56" ht="21" customHeight="1" x14ac:dyDescent="0.25">
      <c r="A38" s="419"/>
      <c r="B38" s="1278"/>
      <c r="C38" s="474"/>
      <c r="D38" s="1334" t="s">
        <v>1173</v>
      </c>
      <c r="E38" s="1334"/>
      <c r="F38" s="1334"/>
      <c r="G38" s="1334"/>
      <c r="H38" s="1334"/>
      <c r="I38" s="1334"/>
      <c r="J38" s="1334"/>
      <c r="K38" s="1334"/>
      <c r="L38" s="1334"/>
      <c r="M38" s="1334"/>
      <c r="N38" s="1334"/>
      <c r="O38" s="1335"/>
      <c r="P38" s="458">
        <v>50</v>
      </c>
      <c r="Q38" s="1200">
        <f>+ROUND((SUMIF('Sumaria renta 20x3'!F:F,'110 Renta 20x3'!P38,'Sumaria renta 20x3'!E:E)),-3)</f>
        <v>0</v>
      </c>
      <c r="R38" s="1200"/>
      <c r="S38" s="1200"/>
      <c r="T38" s="1200"/>
      <c r="U38" s="1200"/>
      <c r="V38" s="1200"/>
      <c r="W38" s="1200"/>
      <c r="X38" s="1200"/>
      <c r="Y38" s="1200"/>
      <c r="Z38" s="1278"/>
      <c r="AA38" s="1343" t="s">
        <v>1174</v>
      </c>
      <c r="AB38" s="1344"/>
      <c r="AC38" s="1344"/>
      <c r="AD38" s="1344"/>
      <c r="AE38" s="1344"/>
      <c r="AF38" s="1344"/>
      <c r="AG38" s="1344"/>
      <c r="AH38" s="1344"/>
      <c r="AI38" s="1344"/>
      <c r="AJ38" s="1345"/>
      <c r="AK38" s="458">
        <v>90</v>
      </c>
      <c r="AL38" s="1259"/>
      <c r="AM38" s="1260"/>
      <c r="AN38" s="1260"/>
      <c r="AO38" s="1260"/>
      <c r="AP38" s="1260"/>
      <c r="AQ38" s="1260"/>
      <c r="AR38" s="1260"/>
      <c r="AS38" s="1261"/>
      <c r="AU38" s="417"/>
      <c r="AV38" s="417"/>
      <c r="AW38" s="418"/>
      <c r="AX38" s="418"/>
      <c r="AY38" s="416"/>
      <c r="AZ38" s="416"/>
      <c r="BA38" s="416"/>
      <c r="BB38" s="416"/>
      <c r="BC38" s="416"/>
      <c r="BD38" s="416"/>
    </row>
    <row r="39" spans="1:56" ht="19.5" customHeight="1" x14ac:dyDescent="0.25">
      <c r="A39" s="419"/>
      <c r="B39" s="1278"/>
      <c r="C39" s="475"/>
      <c r="D39" s="1346" t="s">
        <v>1175</v>
      </c>
      <c r="E39" s="1346"/>
      <c r="F39" s="1346"/>
      <c r="G39" s="1346"/>
      <c r="H39" s="1346"/>
      <c r="I39" s="1346"/>
      <c r="J39" s="1346"/>
      <c r="K39" s="1346"/>
      <c r="L39" s="1346"/>
      <c r="M39" s="1346"/>
      <c r="N39" s="1346"/>
      <c r="O39" s="1347"/>
      <c r="P39" s="476">
        <v>51</v>
      </c>
      <c r="Q39" s="1274">
        <f>+ROUND((SUMIF('Sumaria renta 20x3'!F:F,'110 Renta 20x3'!P39,'Sumaria renta 20x3'!E:E)),-3)</f>
        <v>0</v>
      </c>
      <c r="R39" s="1274"/>
      <c r="S39" s="1274"/>
      <c r="T39" s="1274"/>
      <c r="U39" s="1274"/>
      <c r="V39" s="1274"/>
      <c r="W39" s="1274"/>
      <c r="X39" s="1274"/>
      <c r="Y39" s="1274"/>
      <c r="Z39" s="1278"/>
      <c r="AA39" s="1348" t="s">
        <v>1176</v>
      </c>
      <c r="AB39" s="1349"/>
      <c r="AC39" s="1349"/>
      <c r="AD39" s="1349"/>
      <c r="AE39" s="1349"/>
      <c r="AF39" s="1349"/>
      <c r="AG39" s="1349"/>
      <c r="AH39" s="1349"/>
      <c r="AI39" s="1349"/>
      <c r="AJ39" s="1350"/>
      <c r="AK39" s="477">
        <v>91</v>
      </c>
      <c r="AL39" s="1269"/>
      <c r="AM39" s="1270"/>
      <c r="AN39" s="1270"/>
      <c r="AO39" s="1270"/>
      <c r="AP39" s="1270"/>
      <c r="AQ39" s="1270"/>
      <c r="AR39" s="1270"/>
      <c r="AS39" s="1271"/>
      <c r="AT39" s="478"/>
      <c r="AU39" s="417"/>
      <c r="AV39" s="417"/>
      <c r="AW39" s="418"/>
      <c r="AX39" s="418"/>
      <c r="AY39" s="416"/>
      <c r="AZ39" s="416"/>
      <c r="BA39" s="416"/>
      <c r="BB39" s="416"/>
      <c r="BC39" s="416"/>
      <c r="BD39" s="416"/>
    </row>
    <row r="40" spans="1:56" ht="18.75" customHeight="1" x14ac:dyDescent="0.25">
      <c r="A40" s="419"/>
      <c r="B40" s="1278"/>
      <c r="C40" s="475"/>
      <c r="D40" s="1334" t="s">
        <v>1177</v>
      </c>
      <c r="E40" s="1334"/>
      <c r="F40" s="1334"/>
      <c r="G40" s="1334"/>
      <c r="H40" s="1334"/>
      <c r="I40" s="1334"/>
      <c r="J40" s="1334"/>
      <c r="K40" s="1334"/>
      <c r="L40" s="1334"/>
      <c r="M40" s="1334"/>
      <c r="N40" s="1334"/>
      <c r="O40" s="1335"/>
      <c r="P40" s="479">
        <v>52</v>
      </c>
      <c r="Q40" s="1200">
        <f>+ROUND((SUMIF('Sumaria renta 20x3'!F:F,'110 Renta 20x3'!P40,'Sumaria renta 20x3'!E:E)),-3)</f>
        <v>0</v>
      </c>
      <c r="R40" s="1200"/>
      <c r="S40" s="1200"/>
      <c r="T40" s="1200"/>
      <c r="U40" s="1200"/>
      <c r="V40" s="1200"/>
      <c r="W40" s="1200"/>
      <c r="X40" s="1200"/>
      <c r="Y40" s="1200"/>
      <c r="Z40" s="1278"/>
      <c r="AA40" s="1336" t="s">
        <v>1178</v>
      </c>
      <c r="AB40" s="1337"/>
      <c r="AC40" s="1337"/>
      <c r="AD40" s="1337"/>
      <c r="AE40" s="1337"/>
      <c r="AF40" s="1337"/>
      <c r="AG40" s="1337"/>
      <c r="AH40" s="1337"/>
      <c r="AI40" s="1337"/>
      <c r="AJ40" s="1338"/>
      <c r="AK40" s="459">
        <v>92</v>
      </c>
      <c r="AL40" s="1223">
        <f>+AL34+AL35+AL36+AL37+AL38+AL39</f>
        <v>0</v>
      </c>
      <c r="AM40" s="1224"/>
      <c r="AN40" s="1224"/>
      <c r="AO40" s="1224"/>
      <c r="AP40" s="1224"/>
      <c r="AQ40" s="1224"/>
      <c r="AR40" s="1224"/>
      <c r="AS40" s="1225"/>
      <c r="AU40" s="417"/>
      <c r="AV40" s="417"/>
      <c r="AW40" s="418"/>
      <c r="AX40" s="418"/>
      <c r="AY40" s="416"/>
      <c r="AZ40" s="416"/>
      <c r="BA40" s="416"/>
      <c r="BB40" s="416"/>
      <c r="BC40" s="416"/>
      <c r="BD40" s="416"/>
    </row>
    <row r="41" spans="1:56" ht="18" customHeight="1" x14ac:dyDescent="0.25">
      <c r="A41" s="419"/>
      <c r="B41" s="1278"/>
      <c r="C41" s="475"/>
      <c r="D41" s="1339" t="s">
        <v>1179</v>
      </c>
      <c r="E41" s="1339"/>
      <c r="F41" s="1339"/>
      <c r="G41" s="1339"/>
      <c r="H41" s="1339"/>
      <c r="I41" s="1339"/>
      <c r="J41" s="1339"/>
      <c r="K41" s="1339"/>
      <c r="L41" s="1339"/>
      <c r="M41" s="1339"/>
      <c r="N41" s="1339"/>
      <c r="O41" s="1340"/>
      <c r="P41" s="480">
        <v>53</v>
      </c>
      <c r="Q41" s="1274">
        <f>+ROUND((SUMIF('Sumaria renta 20x3'!F:F,'110 Renta 20x3'!P41,'Sumaria renta 20x3'!E:E)),-3)</f>
        <v>0</v>
      </c>
      <c r="R41" s="1274"/>
      <c r="S41" s="1274"/>
      <c r="T41" s="1274"/>
      <c r="U41" s="1274"/>
      <c r="V41" s="1274"/>
      <c r="W41" s="1274"/>
      <c r="X41" s="1274"/>
      <c r="Y41" s="1274"/>
      <c r="Z41" s="1278"/>
      <c r="AA41" s="1341" t="s">
        <v>1180</v>
      </c>
      <c r="AB41" s="1273"/>
      <c r="AC41" s="1273"/>
      <c r="AD41" s="1273"/>
      <c r="AE41" s="1273"/>
      <c r="AF41" s="1273"/>
      <c r="AG41" s="1273"/>
      <c r="AH41" s="1273"/>
      <c r="AI41" s="1273"/>
      <c r="AJ41" s="1342"/>
      <c r="AK41" s="461">
        <v>93</v>
      </c>
      <c r="AL41" s="1252">
        <v>0</v>
      </c>
      <c r="AM41" s="1253"/>
      <c r="AN41" s="1253"/>
      <c r="AO41" s="1253"/>
      <c r="AP41" s="1253"/>
      <c r="AQ41" s="1253"/>
      <c r="AR41" s="1253"/>
      <c r="AS41" s="1254"/>
      <c r="AU41" s="417"/>
      <c r="AV41" s="417"/>
      <c r="AW41" s="418"/>
      <c r="AX41" s="418"/>
      <c r="AY41" s="416"/>
      <c r="AZ41" s="416"/>
      <c r="BA41" s="416"/>
      <c r="BB41" s="416"/>
      <c r="BC41" s="416"/>
      <c r="BD41" s="416"/>
    </row>
    <row r="42" spans="1:56" ht="21.75" customHeight="1" x14ac:dyDescent="0.25">
      <c r="A42" s="419"/>
      <c r="B42" s="1278"/>
      <c r="C42" s="475"/>
      <c r="D42" s="1322" t="s">
        <v>1181</v>
      </c>
      <c r="E42" s="1322"/>
      <c r="F42" s="1322"/>
      <c r="G42" s="1322"/>
      <c r="H42" s="1322"/>
      <c r="I42" s="1322"/>
      <c r="J42" s="1322"/>
      <c r="K42" s="1322"/>
      <c r="L42" s="1322"/>
      <c r="M42" s="1322"/>
      <c r="N42" s="1322"/>
      <c r="O42" s="1323"/>
      <c r="P42" s="479">
        <v>54</v>
      </c>
      <c r="Q42" s="1200">
        <f>+ROUND((SUMIF('Sumaria renta 20x3'!F:F,'110 Renta 20x3'!P42,'Sumaria renta 20x3'!E:E)),-3)</f>
        <v>0</v>
      </c>
      <c r="R42" s="1200"/>
      <c r="S42" s="1200"/>
      <c r="T42" s="1200"/>
      <c r="U42" s="1200"/>
      <c r="V42" s="1200"/>
      <c r="W42" s="1200"/>
      <c r="X42" s="1200"/>
      <c r="Y42" s="1200"/>
      <c r="Z42" s="1278"/>
      <c r="AA42" s="1324" t="s">
        <v>1182</v>
      </c>
      <c r="AB42" s="1325"/>
      <c r="AC42" s="1325"/>
      <c r="AD42" s="1325"/>
      <c r="AE42" s="1325"/>
      <c r="AF42" s="1325"/>
      <c r="AG42" s="1325"/>
      <c r="AH42" s="1325"/>
      <c r="AI42" s="1325"/>
      <c r="AJ42" s="1326"/>
      <c r="AK42" s="459">
        <v>94</v>
      </c>
      <c r="AL42" s="1223">
        <f>IF(AL40-AL41&gt;0,AL40-AL41,0)</f>
        <v>0</v>
      </c>
      <c r="AM42" s="1224"/>
      <c r="AN42" s="1224"/>
      <c r="AO42" s="1224"/>
      <c r="AP42" s="1224"/>
      <c r="AQ42" s="1224"/>
      <c r="AR42" s="1224"/>
      <c r="AS42" s="1225"/>
      <c r="AU42" s="417"/>
      <c r="AV42" s="421"/>
      <c r="AW42" s="418"/>
      <c r="AX42" s="418"/>
      <c r="AY42" s="416"/>
      <c r="AZ42" s="416"/>
      <c r="BA42" s="416"/>
      <c r="BB42" s="416"/>
      <c r="BC42" s="416"/>
      <c r="BD42" s="416"/>
    </row>
    <row r="43" spans="1:56" ht="21" customHeight="1" x14ac:dyDescent="0.25">
      <c r="A43" s="419"/>
      <c r="B43" s="1278"/>
      <c r="C43" s="475"/>
      <c r="D43" s="1327" t="s">
        <v>1183</v>
      </c>
      <c r="E43" s="1327"/>
      <c r="F43" s="1327"/>
      <c r="G43" s="1327"/>
      <c r="H43" s="1327"/>
      <c r="I43" s="1327"/>
      <c r="J43" s="1327"/>
      <c r="K43" s="1327"/>
      <c r="L43" s="1327"/>
      <c r="M43" s="1327"/>
      <c r="N43" s="1327"/>
      <c r="O43" s="1328"/>
      <c r="P43" s="480">
        <v>55</v>
      </c>
      <c r="Q43" s="1274">
        <f>+ROUND((SUMIF('Sumaria renta 20x3'!F:F,'110 Renta 20x3'!P43,'Sumaria renta 20x3'!E:E)),-3)</f>
        <v>0</v>
      </c>
      <c r="R43" s="1274"/>
      <c r="S43" s="1274"/>
      <c r="T43" s="1274"/>
      <c r="U43" s="1274"/>
      <c r="V43" s="1274"/>
      <c r="W43" s="1274"/>
      <c r="X43" s="1274"/>
      <c r="Y43" s="1274"/>
      <c r="Z43" s="1278"/>
      <c r="AA43" s="1316" t="s">
        <v>1184</v>
      </c>
      <c r="AB43" s="1317"/>
      <c r="AC43" s="1317"/>
      <c r="AD43" s="1317"/>
      <c r="AE43" s="1317"/>
      <c r="AF43" s="1317"/>
      <c r="AG43" s="1317"/>
      <c r="AH43" s="1317"/>
      <c r="AI43" s="1317"/>
      <c r="AJ43" s="1318"/>
      <c r="AK43" s="463">
        <v>95</v>
      </c>
      <c r="AL43" s="1319"/>
      <c r="AM43" s="1320"/>
      <c r="AN43" s="1320"/>
      <c r="AO43" s="1320"/>
      <c r="AP43" s="1320"/>
      <c r="AQ43" s="1320"/>
      <c r="AR43" s="1320"/>
      <c r="AS43" s="1321"/>
      <c r="AU43" s="417"/>
      <c r="AV43" s="421"/>
      <c r="AW43" s="418"/>
      <c r="AX43" s="418"/>
      <c r="AY43" s="416"/>
      <c r="AZ43" s="416"/>
      <c r="BA43" s="416"/>
      <c r="BB43" s="416"/>
      <c r="BC43" s="416"/>
      <c r="BD43" s="416"/>
    </row>
    <row r="44" spans="1:56" ht="19.5" customHeight="1" x14ac:dyDescent="0.25">
      <c r="A44" s="419"/>
      <c r="B44" s="1278"/>
      <c r="C44" s="475"/>
      <c r="D44" s="1310" t="s">
        <v>1185</v>
      </c>
      <c r="E44" s="1310"/>
      <c r="F44" s="1310"/>
      <c r="G44" s="1310"/>
      <c r="H44" s="1310"/>
      <c r="I44" s="1310"/>
      <c r="J44" s="1310"/>
      <c r="K44" s="1310"/>
      <c r="L44" s="1310"/>
      <c r="M44" s="1310"/>
      <c r="N44" s="1310"/>
      <c r="O44" s="1311"/>
      <c r="P44" s="479">
        <v>56</v>
      </c>
      <c r="Q44" s="1200">
        <f>+ROUND((SUMIF('Sumaria renta 20x3'!F:F,'110 Renta 20x3'!P44,'Sumaria renta 20x3'!E:E)),-3)</f>
        <v>0</v>
      </c>
      <c r="R44" s="1200"/>
      <c r="S44" s="1200"/>
      <c r="T44" s="1200"/>
      <c r="U44" s="1200"/>
      <c r="V44" s="1200"/>
      <c r="W44" s="1200"/>
      <c r="X44" s="1200"/>
      <c r="Y44" s="1200"/>
      <c r="Z44" s="1278"/>
      <c r="AA44" s="1312" t="s">
        <v>1186</v>
      </c>
      <c r="AB44" s="1313"/>
      <c r="AC44" s="1313"/>
      <c r="AD44" s="1313"/>
      <c r="AE44" s="1313"/>
      <c r="AF44" s="1313"/>
      <c r="AG44" s="1313"/>
      <c r="AH44" s="1313"/>
      <c r="AI44" s="1313"/>
      <c r="AJ44" s="1314"/>
      <c r="AK44" s="458">
        <v>96</v>
      </c>
      <c r="AL44" s="1259"/>
      <c r="AM44" s="1260"/>
      <c r="AN44" s="1260"/>
      <c r="AO44" s="1260"/>
      <c r="AP44" s="1260"/>
      <c r="AQ44" s="1260"/>
      <c r="AR44" s="1260"/>
      <c r="AS44" s="1261"/>
      <c r="AU44" s="417"/>
      <c r="AV44" s="417"/>
      <c r="AW44" s="418"/>
      <c r="AX44" s="418"/>
      <c r="AY44" s="416"/>
      <c r="AZ44" s="416"/>
      <c r="BA44" s="416"/>
      <c r="BB44" s="416"/>
      <c r="BC44" s="416"/>
      <c r="BD44" s="416"/>
    </row>
    <row r="45" spans="1:56" ht="21" customHeight="1" x14ac:dyDescent="0.25">
      <c r="A45" s="419"/>
      <c r="B45" s="1278"/>
      <c r="C45" s="1315" t="s">
        <v>146</v>
      </c>
      <c r="D45" s="1315"/>
      <c r="E45" s="1315"/>
      <c r="F45" s="1315"/>
      <c r="G45" s="1315"/>
      <c r="H45" s="1315"/>
      <c r="I45" s="1315"/>
      <c r="J45" s="1315"/>
      <c r="K45" s="1315"/>
      <c r="L45" s="1315"/>
      <c r="M45" s="1315"/>
      <c r="N45" s="1315"/>
      <c r="O45" s="1315"/>
      <c r="P45" s="461">
        <v>57</v>
      </c>
      <c r="Q45" s="1274">
        <f>+ROUND((SUMIF('Sumaria renta 20x3'!F:F,'110 Renta 20x3'!P45,'Sumaria renta 20x3'!E:E)),-3)</f>
        <v>0</v>
      </c>
      <c r="R45" s="1274"/>
      <c r="S45" s="1274"/>
      <c r="T45" s="1274"/>
      <c r="U45" s="1274"/>
      <c r="V45" s="1274"/>
      <c r="W45" s="1274"/>
      <c r="X45" s="1274"/>
      <c r="Y45" s="1274"/>
      <c r="Z45" s="1278"/>
      <c r="AA45" s="1316" t="s">
        <v>1187</v>
      </c>
      <c r="AB45" s="1317"/>
      <c r="AC45" s="1317"/>
      <c r="AD45" s="1317"/>
      <c r="AE45" s="1317"/>
      <c r="AF45" s="1317"/>
      <c r="AG45" s="1317"/>
      <c r="AH45" s="1317"/>
      <c r="AI45" s="1317"/>
      <c r="AJ45" s="1318"/>
      <c r="AK45" s="463">
        <v>97</v>
      </c>
      <c r="AL45" s="1319">
        <f>+AL42+AL43-AL44</f>
        <v>0</v>
      </c>
      <c r="AM45" s="1320"/>
      <c r="AN45" s="1320"/>
      <c r="AO45" s="1320"/>
      <c r="AP45" s="1320"/>
      <c r="AQ45" s="1320"/>
      <c r="AR45" s="1320"/>
      <c r="AS45" s="1321"/>
      <c r="AT45" s="1651">
        <f>+'Imp corriente'!D132</f>
        <v>2479477000</v>
      </c>
      <c r="AU45" s="417"/>
      <c r="AV45" s="417"/>
      <c r="AW45" s="418"/>
      <c r="AX45" s="418"/>
      <c r="AY45" s="416"/>
      <c r="AZ45" s="416"/>
      <c r="BA45" s="416"/>
      <c r="BB45" s="416"/>
      <c r="BC45" s="416"/>
      <c r="BD45" s="416"/>
    </row>
    <row r="46" spans="1:56" ht="21" customHeight="1" x14ac:dyDescent="0.25">
      <c r="A46" s="419"/>
      <c r="B46" s="1278"/>
      <c r="C46" s="1303" t="s">
        <v>1188</v>
      </c>
      <c r="D46" s="1303"/>
      <c r="E46" s="1303"/>
      <c r="F46" s="1303"/>
      <c r="G46" s="1303"/>
      <c r="H46" s="1303"/>
      <c r="I46" s="1303"/>
      <c r="J46" s="1303"/>
      <c r="K46" s="1303"/>
      <c r="L46" s="1303"/>
      <c r="M46" s="1303"/>
      <c r="N46" s="1303"/>
      <c r="O46" s="1303"/>
      <c r="P46" s="459">
        <v>58</v>
      </c>
      <c r="Q46" s="1218">
        <f>SUM(Q35:Y45)</f>
        <v>0</v>
      </c>
      <c r="R46" s="1218"/>
      <c r="S46" s="1218"/>
      <c r="T46" s="1218"/>
      <c r="U46" s="1218"/>
      <c r="V46" s="1218"/>
      <c r="W46" s="1218"/>
      <c r="X46" s="1218"/>
      <c r="Y46" s="1218"/>
      <c r="Z46" s="1278"/>
      <c r="AA46" s="1304" t="s">
        <v>1189</v>
      </c>
      <c r="AB46" s="1305"/>
      <c r="AC46" s="1305"/>
      <c r="AD46" s="1305"/>
      <c r="AE46" s="1305"/>
      <c r="AF46" s="1305"/>
      <c r="AG46" s="1305"/>
      <c r="AH46" s="1305"/>
      <c r="AI46" s="1305"/>
      <c r="AJ46" s="1306"/>
      <c r="AK46" s="458">
        <v>98</v>
      </c>
      <c r="AL46" s="1259"/>
      <c r="AM46" s="1260"/>
      <c r="AN46" s="1260"/>
      <c r="AO46" s="1260"/>
      <c r="AP46" s="1260"/>
      <c r="AQ46" s="1260"/>
      <c r="AR46" s="1260"/>
      <c r="AS46" s="1261"/>
      <c r="AU46" s="417"/>
      <c r="AV46" s="417"/>
      <c r="AW46" s="418"/>
      <c r="AX46" s="418"/>
      <c r="AY46" s="416"/>
      <c r="AZ46" s="416"/>
      <c r="BA46" s="416"/>
      <c r="BB46" s="416"/>
      <c r="BC46" s="416"/>
      <c r="BD46" s="416"/>
    </row>
    <row r="47" spans="1:56" ht="18.75" customHeight="1" x14ac:dyDescent="0.25">
      <c r="A47" s="419"/>
      <c r="B47" s="1278"/>
      <c r="C47" s="1240" t="s">
        <v>1190</v>
      </c>
      <c r="D47" s="1240"/>
      <c r="E47" s="1240"/>
      <c r="F47" s="1240"/>
      <c r="G47" s="1240"/>
      <c r="H47" s="1240"/>
      <c r="I47" s="1240"/>
      <c r="J47" s="1240"/>
      <c r="K47" s="1240"/>
      <c r="L47" s="1240"/>
      <c r="M47" s="1240"/>
      <c r="N47" s="1240"/>
      <c r="O47" s="1240"/>
      <c r="P47" s="473">
        <v>59</v>
      </c>
      <c r="Q47" s="1274">
        <f>-ROUND((SUMIF('Sumaria renta 20x3'!F:F,'110 Renta 20x3'!P47,'Sumaria renta 20x3'!E:E)),-3)</f>
        <v>0</v>
      </c>
      <c r="R47" s="1274"/>
      <c r="S47" s="1274"/>
      <c r="T47" s="1274"/>
      <c r="U47" s="1274"/>
      <c r="V47" s="1274"/>
      <c r="W47" s="1274"/>
      <c r="X47" s="1274"/>
      <c r="Y47" s="1274"/>
      <c r="Z47" s="1278"/>
      <c r="AA47" s="1307" t="s">
        <v>1191</v>
      </c>
      <c r="AB47" s="1308"/>
      <c r="AC47" s="1308"/>
      <c r="AD47" s="1308"/>
      <c r="AE47" s="1308"/>
      <c r="AF47" s="1308"/>
      <c r="AG47" s="1308"/>
      <c r="AH47" s="1308"/>
      <c r="AI47" s="1308"/>
      <c r="AJ47" s="1309"/>
      <c r="AK47" s="461">
        <v>99</v>
      </c>
      <c r="AL47" s="1252"/>
      <c r="AM47" s="1253"/>
      <c r="AN47" s="1253"/>
      <c r="AO47" s="1253"/>
      <c r="AP47" s="1253"/>
      <c r="AQ47" s="1253"/>
      <c r="AR47" s="1253"/>
      <c r="AS47" s="1254"/>
      <c r="AU47" s="417"/>
      <c r="AV47" s="417"/>
      <c r="AW47" s="418"/>
      <c r="AX47" s="418"/>
      <c r="AY47" s="416"/>
      <c r="AZ47" s="416"/>
      <c r="BA47" s="416"/>
      <c r="BB47" s="416"/>
      <c r="BC47" s="416"/>
      <c r="BD47" s="416"/>
    </row>
    <row r="48" spans="1:56" ht="18" customHeight="1" x14ac:dyDescent="0.25">
      <c r="A48" s="419"/>
      <c r="B48" s="1278"/>
      <c r="C48" s="1297" t="s">
        <v>1192</v>
      </c>
      <c r="D48" s="1297"/>
      <c r="E48" s="1297"/>
      <c r="F48" s="1297"/>
      <c r="G48" s="1297"/>
      <c r="H48" s="1297"/>
      <c r="I48" s="1297"/>
      <c r="J48" s="1297"/>
      <c r="K48" s="1297"/>
      <c r="L48" s="1297"/>
      <c r="M48" s="1297"/>
      <c r="N48" s="1297"/>
      <c r="O48" s="1297"/>
      <c r="P48" s="458">
        <v>60</v>
      </c>
      <c r="Q48" s="1200">
        <v>0</v>
      </c>
      <c r="R48" s="1200"/>
      <c r="S48" s="1200"/>
      <c r="T48" s="1200"/>
      <c r="U48" s="1200"/>
      <c r="V48" s="1200"/>
      <c r="W48" s="1200"/>
      <c r="X48" s="1200"/>
      <c r="Y48" s="1200"/>
      <c r="Z48" s="1278"/>
      <c r="AA48" s="1298" t="s">
        <v>1193</v>
      </c>
      <c r="AB48" s="1299"/>
      <c r="AC48" s="1299"/>
      <c r="AD48" s="1299"/>
      <c r="AE48" s="1299"/>
      <c r="AF48" s="1299"/>
      <c r="AG48" s="1299"/>
      <c r="AH48" s="1299"/>
      <c r="AI48" s="1299"/>
      <c r="AJ48" s="1300"/>
      <c r="AK48" s="458">
        <v>100</v>
      </c>
      <c r="AL48" s="1259"/>
      <c r="AM48" s="1260"/>
      <c r="AN48" s="1260"/>
      <c r="AO48" s="1260"/>
      <c r="AP48" s="1260"/>
      <c r="AQ48" s="1260"/>
      <c r="AR48" s="1260"/>
      <c r="AS48" s="1261"/>
      <c r="AU48" s="417"/>
      <c r="AV48" s="417"/>
      <c r="AW48" s="418"/>
      <c r="AX48" s="418"/>
      <c r="AY48" s="416"/>
      <c r="AZ48" s="416"/>
      <c r="BA48" s="416"/>
      <c r="BB48" s="416"/>
      <c r="BC48" s="416"/>
      <c r="BD48" s="416"/>
    </row>
    <row r="49" spans="1:56" ht="18" customHeight="1" x14ac:dyDescent="0.25">
      <c r="A49" s="419"/>
      <c r="B49" s="1352"/>
      <c r="C49" s="1301" t="s">
        <v>1194</v>
      </c>
      <c r="D49" s="1301"/>
      <c r="E49" s="1301"/>
      <c r="F49" s="1301"/>
      <c r="G49" s="1301"/>
      <c r="H49" s="1301"/>
      <c r="I49" s="1301"/>
      <c r="J49" s="1301"/>
      <c r="K49" s="1301"/>
      <c r="L49" s="1301"/>
      <c r="M49" s="1301"/>
      <c r="N49" s="1301"/>
      <c r="O49" s="1301"/>
      <c r="P49" s="463">
        <v>61</v>
      </c>
      <c r="Q49" s="1302">
        <f>+Q46-Q47-Q48</f>
        <v>0</v>
      </c>
      <c r="R49" s="1295"/>
      <c r="S49" s="1295"/>
      <c r="T49" s="1295"/>
      <c r="U49" s="1295"/>
      <c r="V49" s="1295"/>
      <c r="W49" s="1295"/>
      <c r="X49" s="1295"/>
      <c r="Y49" s="1296"/>
      <c r="Z49" s="1278"/>
      <c r="AA49" s="1249" t="s">
        <v>1195</v>
      </c>
      <c r="AB49" s="1250"/>
      <c r="AC49" s="1250"/>
      <c r="AD49" s="1250"/>
      <c r="AE49" s="1250"/>
      <c r="AF49" s="1250"/>
      <c r="AG49" s="1250"/>
      <c r="AH49" s="1250"/>
      <c r="AI49" s="1250"/>
      <c r="AJ49" s="1251"/>
      <c r="AK49" s="461">
        <v>101</v>
      </c>
      <c r="AL49" s="1252"/>
      <c r="AM49" s="1253"/>
      <c r="AN49" s="1253"/>
      <c r="AO49" s="1253"/>
      <c r="AP49" s="1253"/>
      <c r="AQ49" s="1253"/>
      <c r="AR49" s="1253"/>
      <c r="AS49" s="1254"/>
      <c r="AU49" s="417"/>
      <c r="AV49" s="417"/>
      <c r="AW49" s="418"/>
      <c r="AX49" s="418"/>
      <c r="AY49" s="416"/>
      <c r="AZ49" s="416"/>
      <c r="BA49" s="416"/>
      <c r="BB49" s="416"/>
      <c r="BC49" s="416"/>
      <c r="BD49" s="416"/>
    </row>
    <row r="50" spans="1:56" ht="18" customHeight="1" x14ac:dyDescent="0.25">
      <c r="A50" s="419"/>
      <c r="B50" s="1278" t="s">
        <v>1196</v>
      </c>
      <c r="C50" s="1279" t="s">
        <v>1197</v>
      </c>
      <c r="D50" s="1279"/>
      <c r="E50" s="1279"/>
      <c r="F50" s="1279"/>
      <c r="G50" s="1279"/>
      <c r="H50" s="1279"/>
      <c r="I50" s="1279"/>
      <c r="J50" s="1279"/>
      <c r="K50" s="1279"/>
      <c r="L50" s="1279"/>
      <c r="M50" s="1279"/>
      <c r="N50" s="1279"/>
      <c r="O50" s="1279"/>
      <c r="P50" s="464">
        <v>62</v>
      </c>
      <c r="Q50" s="1200">
        <f>+ROUND((SUMIF('Sumaria renta 20x3'!F:F,'110 Renta 20x3'!P50,'Sumaria renta 20x3'!E:E)),-3)</f>
        <v>0</v>
      </c>
      <c r="R50" s="1200"/>
      <c r="S50" s="1200"/>
      <c r="T50" s="1200"/>
      <c r="U50" s="1200"/>
      <c r="V50" s="1200"/>
      <c r="W50" s="1200"/>
      <c r="X50" s="1200"/>
      <c r="Y50" s="1200"/>
      <c r="Z50" s="1278"/>
      <c r="AA50" s="1280" t="s">
        <v>1198</v>
      </c>
      <c r="AB50" s="1281"/>
      <c r="AC50" s="1281"/>
      <c r="AD50" s="1281"/>
      <c r="AE50" s="1281"/>
      <c r="AF50" s="1281"/>
      <c r="AG50" s="1281"/>
      <c r="AH50" s="1281"/>
      <c r="AI50" s="1281"/>
      <c r="AJ50" s="1282"/>
      <c r="AK50" s="481">
        <v>102</v>
      </c>
      <c r="AL50" s="1283"/>
      <c r="AM50" s="1284"/>
      <c r="AN50" s="1284"/>
      <c r="AO50" s="1284"/>
      <c r="AP50" s="1284"/>
      <c r="AQ50" s="1284"/>
      <c r="AR50" s="1284"/>
      <c r="AS50" s="1285"/>
      <c r="AU50" s="417"/>
      <c r="AV50" s="417"/>
      <c r="AW50" s="418"/>
      <c r="AX50" s="418"/>
      <c r="AY50" s="416"/>
      <c r="AZ50" s="416"/>
      <c r="BA50" s="416"/>
      <c r="BB50" s="416"/>
      <c r="BC50" s="416"/>
      <c r="BD50" s="416"/>
    </row>
    <row r="51" spans="1:56" ht="18" customHeight="1" x14ac:dyDescent="0.25">
      <c r="A51" s="419"/>
      <c r="B51" s="1278"/>
      <c r="C51" s="1273" t="s">
        <v>498</v>
      </c>
      <c r="D51" s="1273"/>
      <c r="E51" s="1273"/>
      <c r="F51" s="1273"/>
      <c r="G51" s="1273"/>
      <c r="H51" s="1273"/>
      <c r="I51" s="1273"/>
      <c r="J51" s="1273"/>
      <c r="K51" s="1273"/>
      <c r="L51" s="1273"/>
      <c r="M51" s="1273"/>
      <c r="N51" s="1273"/>
      <c r="O51" s="1273"/>
      <c r="P51" s="461">
        <v>63</v>
      </c>
      <c r="Q51" s="1274">
        <f>ROUND((SUMIF('Sumaria renta 20x3'!F:F,'110 Renta 20x3'!P51,'Sumaria renta 20x3'!E:E)),-3)</f>
        <v>0</v>
      </c>
      <c r="R51" s="1274"/>
      <c r="S51" s="1274"/>
      <c r="T51" s="1274"/>
      <c r="U51" s="1274"/>
      <c r="V51" s="1274"/>
      <c r="W51" s="1274"/>
      <c r="X51" s="1274"/>
      <c r="Y51" s="1274"/>
      <c r="Z51" s="1278"/>
      <c r="AA51" s="1286" t="s">
        <v>1199</v>
      </c>
      <c r="AB51" s="1273" t="s">
        <v>1200</v>
      </c>
      <c r="AC51" s="1273"/>
      <c r="AD51" s="1273"/>
      <c r="AE51" s="1273"/>
      <c r="AF51" s="1273"/>
      <c r="AG51" s="1273"/>
      <c r="AH51" s="1273"/>
      <c r="AI51" s="1273"/>
      <c r="AJ51" s="1273"/>
      <c r="AK51" s="461">
        <v>103</v>
      </c>
      <c r="AL51" s="1253">
        <f>+ROUND((retenciones!K72),-3)</f>
        <v>61340000</v>
      </c>
      <c r="AM51" s="1253"/>
      <c r="AN51" s="1253"/>
      <c r="AO51" s="1253"/>
      <c r="AP51" s="1253"/>
      <c r="AQ51" s="1253"/>
      <c r="AR51" s="1253"/>
      <c r="AS51" s="1254"/>
      <c r="AU51" s="417"/>
      <c r="AV51" s="417"/>
      <c r="AW51" s="418"/>
      <c r="AX51" s="418"/>
      <c r="AY51" s="416"/>
      <c r="AZ51" s="416"/>
      <c r="BA51" s="416"/>
      <c r="BB51" s="416"/>
      <c r="BC51" s="416"/>
      <c r="BD51" s="416"/>
    </row>
    <row r="52" spans="1:56" ht="21" customHeight="1" x14ac:dyDescent="0.25">
      <c r="A52" s="419"/>
      <c r="B52" s="1278"/>
      <c r="C52" s="1272" t="s">
        <v>1201</v>
      </c>
      <c r="D52" s="1272"/>
      <c r="E52" s="1272"/>
      <c r="F52" s="1272"/>
      <c r="G52" s="1272"/>
      <c r="H52" s="1272"/>
      <c r="I52" s="1272"/>
      <c r="J52" s="1272"/>
      <c r="K52" s="1272"/>
      <c r="L52" s="1272"/>
      <c r="M52" s="1272"/>
      <c r="N52" s="1272"/>
      <c r="O52" s="1272"/>
      <c r="P52" s="458">
        <v>64</v>
      </c>
      <c r="Q52" s="1200">
        <f>+ROUND((SUMIF('Sumaria renta 20x3'!F:F,'110 Renta 20x3'!P52,'Sumaria renta 20x3'!E:E)),-3)</f>
        <v>0</v>
      </c>
      <c r="R52" s="1200"/>
      <c r="S52" s="1200"/>
      <c r="T52" s="1200"/>
      <c r="U52" s="1200"/>
      <c r="V52" s="1200"/>
      <c r="W52" s="1200"/>
      <c r="X52" s="1200"/>
      <c r="Y52" s="1200"/>
      <c r="Z52" s="1278"/>
      <c r="AA52" s="1286"/>
      <c r="AB52" s="1272" t="s">
        <v>1202</v>
      </c>
      <c r="AC52" s="1272"/>
      <c r="AD52" s="1272"/>
      <c r="AE52" s="1272"/>
      <c r="AF52" s="1272"/>
      <c r="AG52" s="1272"/>
      <c r="AH52" s="1272"/>
      <c r="AI52" s="1272"/>
      <c r="AJ52" s="1272"/>
      <c r="AK52" s="458">
        <v>104</v>
      </c>
      <c r="AL52" s="1260">
        <f>+ROUND((retenciones!K508),-3)</f>
        <v>310000</v>
      </c>
      <c r="AM52" s="1260"/>
      <c r="AN52" s="1260"/>
      <c r="AO52" s="1260"/>
      <c r="AP52" s="1260"/>
      <c r="AQ52" s="1260"/>
      <c r="AR52" s="1260"/>
      <c r="AS52" s="1261"/>
      <c r="AU52" s="417"/>
      <c r="AV52" s="417"/>
      <c r="AW52" s="418"/>
      <c r="AX52" s="418"/>
      <c r="AY52" s="416"/>
      <c r="AZ52" s="416"/>
      <c r="BA52" s="416"/>
      <c r="BB52" s="416"/>
      <c r="BC52" s="416"/>
      <c r="BD52" s="416"/>
    </row>
    <row r="53" spans="1:56" ht="21" customHeight="1" x14ac:dyDescent="0.25">
      <c r="A53" s="419"/>
      <c r="B53" s="1278"/>
      <c r="C53" s="1273" t="s">
        <v>151</v>
      </c>
      <c r="D53" s="1273"/>
      <c r="E53" s="1273"/>
      <c r="F53" s="1273"/>
      <c r="G53" s="1273"/>
      <c r="H53" s="1273"/>
      <c r="I53" s="1273"/>
      <c r="J53" s="1273"/>
      <c r="K53" s="1273"/>
      <c r="L53" s="1273"/>
      <c r="M53" s="1273"/>
      <c r="N53" s="1273"/>
      <c r="O53" s="1273"/>
      <c r="P53" s="461">
        <v>65</v>
      </c>
      <c r="Q53" s="1274">
        <f>ROUND((SUMIF('Sumaria renta 20x3'!F:F,'110 Renta 20x3'!P53,'Sumaria renta 20x3'!E:E)),-3)</f>
        <v>0</v>
      </c>
      <c r="R53" s="1274"/>
      <c r="S53" s="1274"/>
      <c r="T53" s="1274"/>
      <c r="U53" s="1274"/>
      <c r="V53" s="1274"/>
      <c r="W53" s="1274"/>
      <c r="X53" s="1274"/>
      <c r="Y53" s="1274"/>
      <c r="Z53" s="1278"/>
      <c r="AA53" s="1287"/>
      <c r="AB53" s="1275" t="s">
        <v>1203</v>
      </c>
      <c r="AC53" s="1276"/>
      <c r="AD53" s="1276"/>
      <c r="AE53" s="1276"/>
      <c r="AF53" s="1276"/>
      <c r="AG53" s="1276"/>
      <c r="AH53" s="1276"/>
      <c r="AI53" s="1276"/>
      <c r="AJ53" s="1277"/>
      <c r="AK53" s="477">
        <v>105</v>
      </c>
      <c r="AL53" s="1231">
        <f>AL51+AL52</f>
        <v>61650000</v>
      </c>
      <c r="AM53" s="1231"/>
      <c r="AN53" s="1231"/>
      <c r="AO53" s="1231"/>
      <c r="AP53" s="1231"/>
      <c r="AQ53" s="1231"/>
      <c r="AR53" s="1231"/>
      <c r="AS53" s="1232"/>
      <c r="AU53" s="417"/>
      <c r="AV53" s="482" t="s">
        <v>1204</v>
      </c>
      <c r="AW53" s="418"/>
      <c r="AX53" s="418"/>
      <c r="AY53" s="416"/>
      <c r="AZ53" s="416"/>
      <c r="BA53" s="416"/>
      <c r="BB53" s="416"/>
      <c r="BC53" s="416"/>
      <c r="BD53" s="416"/>
    </row>
    <row r="54" spans="1:56" ht="22.5" customHeight="1" x14ac:dyDescent="0.25">
      <c r="A54" s="419"/>
      <c r="B54" s="1278"/>
      <c r="C54" s="1272" t="s">
        <v>1205</v>
      </c>
      <c r="D54" s="1272"/>
      <c r="E54" s="1272"/>
      <c r="F54" s="1272"/>
      <c r="G54" s="1272"/>
      <c r="H54" s="1272"/>
      <c r="I54" s="1272"/>
      <c r="J54" s="1272"/>
      <c r="K54" s="1272"/>
      <c r="L54" s="1272"/>
      <c r="M54" s="1272"/>
      <c r="N54" s="1272"/>
      <c r="O54" s="1272"/>
      <c r="P54" s="458">
        <v>66</v>
      </c>
      <c r="Q54" s="1200">
        <f>+ROUND((SUMIF('Sumaria renta 20x3'!F:F,'110 Renta 20x3'!P54,'Sumaria renta 20x3'!E:E)),-3)</f>
        <v>0</v>
      </c>
      <c r="R54" s="1200"/>
      <c r="S54" s="1200"/>
      <c r="T54" s="1200"/>
      <c r="U54" s="1200"/>
      <c r="V54" s="1200"/>
      <c r="W54" s="1200"/>
      <c r="X54" s="1200"/>
      <c r="Y54" s="1200"/>
      <c r="Z54" s="1278"/>
      <c r="AA54" s="1288" t="s">
        <v>1206</v>
      </c>
      <c r="AB54" s="1289"/>
      <c r="AC54" s="1289"/>
      <c r="AD54" s="1289"/>
      <c r="AE54" s="1289"/>
      <c r="AF54" s="1289"/>
      <c r="AG54" s="1289"/>
      <c r="AH54" s="1289"/>
      <c r="AI54" s="1289"/>
      <c r="AJ54" s="1289"/>
      <c r="AK54" s="483">
        <v>106</v>
      </c>
      <c r="AL54" s="1290">
        <f>+Anticipo!C19</f>
        <v>0</v>
      </c>
      <c r="AM54" s="1291"/>
      <c r="AN54" s="1291"/>
      <c r="AO54" s="1291"/>
      <c r="AP54" s="1291"/>
      <c r="AQ54" s="1291"/>
      <c r="AR54" s="1291"/>
      <c r="AS54" s="1292"/>
      <c r="AT54" s="484"/>
      <c r="AU54" s="417"/>
      <c r="AV54" s="417"/>
      <c r="AW54" s="470"/>
      <c r="AX54" s="418"/>
      <c r="AY54" s="416"/>
      <c r="AZ54" s="416"/>
      <c r="BA54" s="416"/>
      <c r="BB54" s="416"/>
      <c r="BC54" s="416"/>
      <c r="BD54" s="416"/>
    </row>
    <row r="55" spans="1:56" ht="20.25" customHeight="1" x14ac:dyDescent="0.25">
      <c r="A55" s="419"/>
      <c r="B55" s="1278"/>
      <c r="C55" s="1293" t="s">
        <v>1207</v>
      </c>
      <c r="D55" s="1294"/>
      <c r="E55" s="1294"/>
      <c r="F55" s="1294"/>
      <c r="G55" s="1294"/>
      <c r="H55" s="1294"/>
      <c r="I55" s="1294"/>
      <c r="J55" s="1294"/>
      <c r="K55" s="1294"/>
      <c r="L55" s="1294"/>
      <c r="M55" s="1294"/>
      <c r="N55" s="1294"/>
      <c r="O55" s="1294"/>
      <c r="P55" s="485">
        <v>67</v>
      </c>
      <c r="Q55" s="1295">
        <f>SUM(Q50:Y54)</f>
        <v>0</v>
      </c>
      <c r="R55" s="1295"/>
      <c r="S55" s="1295"/>
      <c r="T55" s="1295"/>
      <c r="U55" s="1295"/>
      <c r="V55" s="1295"/>
      <c r="W55" s="1295"/>
      <c r="X55" s="1295"/>
      <c r="Y55" s="1296"/>
      <c r="Z55" s="1278"/>
      <c r="AA55" s="1247" t="s">
        <v>1208</v>
      </c>
      <c r="AB55" s="1249" t="s">
        <v>1209</v>
      </c>
      <c r="AC55" s="1250"/>
      <c r="AD55" s="1250"/>
      <c r="AE55" s="1250"/>
      <c r="AF55" s="1250"/>
      <c r="AG55" s="1250"/>
      <c r="AH55" s="1250"/>
      <c r="AI55" s="1250"/>
      <c r="AJ55" s="1251"/>
      <c r="AK55" s="461">
        <v>107</v>
      </c>
      <c r="AL55" s="1252"/>
      <c r="AM55" s="1253"/>
      <c r="AN55" s="1253"/>
      <c r="AO55" s="1253"/>
      <c r="AP55" s="1253"/>
      <c r="AQ55" s="1253"/>
      <c r="AR55" s="1253"/>
      <c r="AS55" s="1254"/>
      <c r="AU55" s="417"/>
      <c r="AV55" s="417"/>
      <c r="AW55" s="470"/>
      <c r="AX55" s="418"/>
      <c r="AY55" s="416"/>
      <c r="AZ55" s="416"/>
      <c r="BA55" s="416"/>
      <c r="BB55" s="416"/>
      <c r="BC55" s="416"/>
      <c r="BD55" s="416"/>
    </row>
    <row r="56" spans="1:56" ht="21.75" customHeight="1" x14ac:dyDescent="0.25">
      <c r="A56" s="419"/>
      <c r="B56" s="1255" t="s">
        <v>1210</v>
      </c>
      <c r="C56" s="486"/>
      <c r="D56" s="1256" t="s">
        <v>1211</v>
      </c>
      <c r="E56" s="1256"/>
      <c r="F56" s="1256"/>
      <c r="G56" s="1256"/>
      <c r="H56" s="1256"/>
      <c r="I56" s="1256"/>
      <c r="J56" s="1256"/>
      <c r="K56" s="1256"/>
      <c r="L56" s="1256"/>
      <c r="M56" s="1256"/>
      <c r="N56" s="1256"/>
      <c r="O56" s="1257"/>
      <c r="P56" s="464">
        <v>68</v>
      </c>
      <c r="Q56" s="1200">
        <f>+ROUND((SUMIF('Sumaria renta 20x3'!F:F,'110 Renta 20x3'!P56,'Sumaria renta 20x3'!E:E)),-3)</f>
        <v>0</v>
      </c>
      <c r="R56" s="1200"/>
      <c r="S56" s="1200"/>
      <c r="T56" s="1200"/>
      <c r="U56" s="1200"/>
      <c r="V56" s="1200"/>
      <c r="W56" s="1200"/>
      <c r="X56" s="1200"/>
      <c r="Y56" s="1200"/>
      <c r="Z56" s="1278"/>
      <c r="AA56" s="1247"/>
      <c r="AB56" s="1258" t="s">
        <v>1212</v>
      </c>
      <c r="AC56" s="1197"/>
      <c r="AD56" s="1197"/>
      <c r="AE56" s="1197"/>
      <c r="AF56" s="1197"/>
      <c r="AG56" s="1197"/>
      <c r="AH56" s="1197"/>
      <c r="AI56" s="1197"/>
      <c r="AJ56" s="1198"/>
      <c r="AK56" s="458">
        <v>108</v>
      </c>
      <c r="AL56" s="1259"/>
      <c r="AM56" s="1260"/>
      <c r="AN56" s="1260"/>
      <c r="AO56" s="1260"/>
      <c r="AP56" s="1260"/>
      <c r="AQ56" s="1260"/>
      <c r="AR56" s="1260"/>
      <c r="AS56" s="1261"/>
      <c r="AU56" s="417"/>
      <c r="AV56" s="417"/>
      <c r="AW56" s="470"/>
      <c r="AX56" s="418"/>
      <c r="AY56" s="416"/>
      <c r="AZ56" s="416"/>
      <c r="BA56" s="416"/>
      <c r="BB56" s="416"/>
      <c r="BC56" s="416"/>
      <c r="BD56" s="416"/>
    </row>
    <row r="57" spans="1:56" ht="20.25" customHeight="1" x14ac:dyDescent="0.25">
      <c r="A57" s="419"/>
      <c r="B57" s="1255"/>
      <c r="C57" s="487"/>
      <c r="D57" s="1262" t="s">
        <v>1213</v>
      </c>
      <c r="E57" s="1262"/>
      <c r="F57" s="1262"/>
      <c r="G57" s="1262"/>
      <c r="H57" s="1262"/>
      <c r="I57" s="1262"/>
      <c r="J57" s="1262"/>
      <c r="K57" s="1262"/>
      <c r="L57" s="1262"/>
      <c r="M57" s="1262"/>
      <c r="N57" s="1262"/>
      <c r="O57" s="1263"/>
      <c r="P57" s="477">
        <v>69</v>
      </c>
      <c r="Q57" s="1264"/>
      <c r="R57" s="1265"/>
      <c r="S57" s="1265"/>
      <c r="T57" s="1265"/>
      <c r="U57" s="1265"/>
      <c r="V57" s="1265"/>
      <c r="W57" s="1265"/>
      <c r="X57" s="1265"/>
      <c r="Y57" s="1266"/>
      <c r="Z57" s="1278"/>
      <c r="AA57" s="1248"/>
      <c r="AB57" s="1267" t="s">
        <v>1214</v>
      </c>
      <c r="AC57" s="1229"/>
      <c r="AD57" s="1229"/>
      <c r="AE57" s="1229"/>
      <c r="AF57" s="1229"/>
      <c r="AG57" s="1229"/>
      <c r="AH57" s="1229"/>
      <c r="AI57" s="1229"/>
      <c r="AJ57" s="1268"/>
      <c r="AK57" s="477">
        <v>109</v>
      </c>
      <c r="AL57" s="1269"/>
      <c r="AM57" s="1270"/>
      <c r="AN57" s="1270"/>
      <c r="AO57" s="1270"/>
      <c r="AP57" s="1270"/>
      <c r="AQ57" s="1270"/>
      <c r="AR57" s="1270"/>
      <c r="AS57" s="1271"/>
      <c r="AT57" s="460"/>
      <c r="AU57" s="417"/>
      <c r="AV57" s="417"/>
      <c r="AW57" s="470"/>
      <c r="AX57" s="418"/>
      <c r="AY57" s="416"/>
      <c r="AZ57" s="416"/>
      <c r="BA57" s="416"/>
      <c r="BB57" s="416"/>
      <c r="BC57" s="416"/>
      <c r="BD57" s="416"/>
    </row>
    <row r="58" spans="1:56" ht="18.75" customHeight="1" x14ac:dyDescent="0.25">
      <c r="A58" s="419"/>
      <c r="B58" s="1233" t="s">
        <v>125</v>
      </c>
      <c r="C58" s="488"/>
      <c r="D58" s="1236" t="s">
        <v>1215</v>
      </c>
      <c r="E58" s="1236"/>
      <c r="F58" s="1236"/>
      <c r="G58" s="1236"/>
      <c r="H58" s="1236"/>
      <c r="I58" s="1236"/>
      <c r="J58" s="1236"/>
      <c r="K58" s="1236"/>
      <c r="L58" s="1236"/>
      <c r="M58" s="1236"/>
      <c r="N58" s="1236"/>
      <c r="O58" s="1236"/>
      <c r="P58" s="464">
        <v>70</v>
      </c>
      <c r="Q58" s="1200">
        <f>+ROUND((SUMIF('Sumaria renta 20x3'!F:F,'110 Renta 20x3'!P58,'Sumaria renta 20x3'!E:E)),-3)</f>
        <v>0</v>
      </c>
      <c r="R58" s="1200"/>
      <c r="S58" s="1200"/>
      <c r="T58" s="1200"/>
      <c r="U58" s="1200"/>
      <c r="V58" s="1200"/>
      <c r="W58" s="1200"/>
      <c r="X58" s="1200"/>
      <c r="Y58" s="1200"/>
      <c r="Z58" s="1278"/>
      <c r="AA58" s="1237" t="s">
        <v>1216</v>
      </c>
      <c r="AB58" s="1238"/>
      <c r="AC58" s="1238"/>
      <c r="AD58" s="1238"/>
      <c r="AE58" s="1238"/>
      <c r="AF58" s="1238"/>
      <c r="AG58" s="1238"/>
      <c r="AH58" s="1238"/>
      <c r="AI58" s="1238"/>
      <c r="AJ58" s="1239"/>
      <c r="AK58" s="459">
        <v>110</v>
      </c>
      <c r="AL58" s="1223">
        <f>IF(AL45-AL46-AL47-AL48-AL49-AL50-AL53+AL54-AL55+AL56+AL57&gt;0,AL45-AL46-AL47-AL48-AL49-AL50-AL53+AL54-AL55+AL56+AL57,0)</f>
        <v>0</v>
      </c>
      <c r="AM58" s="1224"/>
      <c r="AN58" s="1224"/>
      <c r="AO58" s="1224"/>
      <c r="AP58" s="1224"/>
      <c r="AQ58" s="1224"/>
      <c r="AR58" s="1224"/>
      <c r="AS58" s="1225"/>
      <c r="AT58" s="489"/>
      <c r="AU58" s="417"/>
      <c r="AV58" s="417"/>
      <c r="AW58" s="418"/>
      <c r="AX58" s="418"/>
      <c r="AY58" s="416"/>
      <c r="AZ58" s="416"/>
      <c r="BA58" s="416"/>
      <c r="BB58" s="416"/>
      <c r="BC58" s="416"/>
      <c r="BD58" s="416"/>
    </row>
    <row r="59" spans="1:56" ht="20.25" customHeight="1" x14ac:dyDescent="0.25">
      <c r="A59" s="419"/>
      <c r="B59" s="1234"/>
      <c r="C59" s="1240" t="s">
        <v>1217</v>
      </c>
      <c r="D59" s="1240"/>
      <c r="E59" s="1240"/>
      <c r="F59" s="1240"/>
      <c r="G59" s="1240"/>
      <c r="H59" s="1240"/>
      <c r="I59" s="1240"/>
      <c r="J59" s="1240"/>
      <c r="K59" s="1240"/>
      <c r="L59" s="1240"/>
      <c r="M59" s="1240"/>
      <c r="N59" s="1240"/>
      <c r="O59" s="1240"/>
      <c r="P59" s="473">
        <v>71</v>
      </c>
      <c r="Q59" s="1241"/>
      <c r="R59" s="1241"/>
      <c r="S59" s="1241"/>
      <c r="T59" s="1241"/>
      <c r="U59" s="1241"/>
      <c r="V59" s="1241"/>
      <c r="W59" s="1241"/>
      <c r="X59" s="1241"/>
      <c r="Y59" s="1242"/>
      <c r="Z59" s="1278"/>
      <c r="AA59" s="1243" t="s">
        <v>1218</v>
      </c>
      <c r="AB59" s="1244"/>
      <c r="AC59" s="1244"/>
      <c r="AD59" s="1244"/>
      <c r="AE59" s="1244"/>
      <c r="AF59" s="1244"/>
      <c r="AG59" s="1244"/>
      <c r="AH59" s="1244"/>
      <c r="AI59" s="1244"/>
      <c r="AJ59" s="1245"/>
      <c r="AK59" s="461">
        <v>111</v>
      </c>
      <c r="AL59" s="1215"/>
      <c r="AM59" s="1216"/>
      <c r="AN59" s="1216"/>
      <c r="AO59" s="1216"/>
      <c r="AP59" s="1216"/>
      <c r="AQ59" s="1216"/>
      <c r="AR59" s="1216"/>
      <c r="AS59" s="1217"/>
      <c r="AT59" s="460"/>
      <c r="AU59" s="417"/>
      <c r="AV59" s="417"/>
      <c r="AW59" s="418"/>
      <c r="AX59" s="418"/>
      <c r="AY59" s="416"/>
      <c r="AZ59" s="416"/>
      <c r="BA59" s="416"/>
      <c r="BB59" s="416"/>
      <c r="BC59" s="416"/>
      <c r="BD59" s="416"/>
    </row>
    <row r="60" spans="1:56" ht="21.75" customHeight="1" x14ac:dyDescent="0.25">
      <c r="A60" s="419"/>
      <c r="B60" s="1234"/>
      <c r="C60" s="1246" t="s">
        <v>1219</v>
      </c>
      <c r="D60" s="1246"/>
      <c r="E60" s="1246"/>
      <c r="F60" s="1246"/>
      <c r="G60" s="1246"/>
      <c r="H60" s="1246"/>
      <c r="I60" s="1246"/>
      <c r="J60" s="1246"/>
      <c r="K60" s="1246"/>
      <c r="L60" s="1246"/>
      <c r="M60" s="1246"/>
      <c r="N60" s="1246"/>
      <c r="O60" s="1246"/>
      <c r="P60" s="459">
        <v>72</v>
      </c>
      <c r="Q60" s="1218">
        <f>IF(Q49+Q57+Q58+Q59-Q39-Q40-Q41-Q42-Q43-Q44-Q55-Q56&gt;0,Q49+Q57+Q58+Q59-Q39-Q40-Q41-Q42-Q43-Q44-Q55-Q56,0)</f>
        <v>0</v>
      </c>
      <c r="R60" s="1218"/>
      <c r="S60" s="1218"/>
      <c r="T60" s="1218"/>
      <c r="U60" s="1218"/>
      <c r="V60" s="1218"/>
      <c r="W60" s="1218"/>
      <c r="X60" s="1218"/>
      <c r="Y60" s="1219"/>
      <c r="Z60" s="1278"/>
      <c r="AA60" s="1220" t="s">
        <v>1220</v>
      </c>
      <c r="AB60" s="1221"/>
      <c r="AC60" s="1221"/>
      <c r="AD60" s="1221"/>
      <c r="AE60" s="1221"/>
      <c r="AF60" s="1221"/>
      <c r="AG60" s="1221"/>
      <c r="AH60" s="1221"/>
      <c r="AI60" s="1221"/>
      <c r="AJ60" s="1222"/>
      <c r="AK60" s="459">
        <v>112</v>
      </c>
      <c r="AL60" s="1223">
        <f>IF(AL45-AL46-AL47-AL48-AL49-AL50-AL53+AL54+AL59-AL55+AL56+AL57&gt;0,AL45-AL46-AL47-AL48-AL49-AL50-AL53+AL54+AL59-AL55+AL56+AL57,0)</f>
        <v>0</v>
      </c>
      <c r="AM60" s="1224"/>
      <c r="AN60" s="1224"/>
      <c r="AO60" s="1224"/>
      <c r="AP60" s="1224"/>
      <c r="AQ60" s="1224"/>
      <c r="AR60" s="1224"/>
      <c r="AS60" s="1225"/>
      <c r="AT60" s="490">
        <f>+AL60-AL54</f>
        <v>0</v>
      </c>
      <c r="AU60" s="417"/>
      <c r="AV60" s="417"/>
      <c r="AW60" s="418"/>
      <c r="AX60" s="418"/>
      <c r="AY60" s="416"/>
      <c r="AZ60" s="416"/>
      <c r="BA60" s="416"/>
      <c r="BB60" s="416"/>
      <c r="BC60" s="416"/>
      <c r="BD60" s="416"/>
    </row>
    <row r="61" spans="1:56" ht="24.75" customHeight="1" x14ac:dyDescent="0.25">
      <c r="A61" s="419"/>
      <c r="B61" s="1234"/>
      <c r="C61" s="1226" t="s">
        <v>1221</v>
      </c>
      <c r="D61" s="1227"/>
      <c r="E61" s="1227"/>
      <c r="F61" s="1227"/>
      <c r="G61" s="1227"/>
      <c r="H61" s="1227"/>
      <c r="I61" s="1227"/>
      <c r="J61" s="1227"/>
      <c r="K61" s="1227"/>
      <c r="L61" s="1227"/>
      <c r="M61" s="1227"/>
      <c r="N61" s="1227"/>
      <c r="O61" s="1227"/>
      <c r="P61" s="491">
        <v>73</v>
      </c>
      <c r="Q61" s="1210">
        <f>IF(Q39+Q40+Q41+Q42+Q43+Q44+Q55+Q56-Q49-Q57-Q58-Q59&gt;0,Q39+Q40+Q41+Q42+Q43+Q44+Q55+Q56-Q49-Q57-Q58-Q59,0)</f>
        <v>0</v>
      </c>
      <c r="R61" s="1210"/>
      <c r="S61" s="1210"/>
      <c r="T61" s="1210"/>
      <c r="U61" s="1210"/>
      <c r="V61" s="1210"/>
      <c r="W61" s="1210"/>
      <c r="X61" s="1210"/>
      <c r="Y61" s="1211"/>
      <c r="Z61" s="1352"/>
      <c r="AA61" s="1228" t="s">
        <v>1222</v>
      </c>
      <c r="AB61" s="1229"/>
      <c r="AC61" s="1229"/>
      <c r="AD61" s="1229"/>
      <c r="AE61" s="1229"/>
      <c r="AF61" s="1229"/>
      <c r="AG61" s="1229"/>
      <c r="AH61" s="1229"/>
      <c r="AI61" s="1229"/>
      <c r="AJ61" s="1229"/>
      <c r="AK61" s="485">
        <v>113</v>
      </c>
      <c r="AL61" s="1230">
        <f>IF(AL45-AL46-AL47-AL48-AL49-AL50-AL53+AL54+AL59-AL55+AL56+AL57&gt;0,0,-AL45+AL46+AL47+AL48+AL49+AL50+AL53-AL54-AL59+AL55-AL56-AL57)</f>
        <v>61650000</v>
      </c>
      <c r="AM61" s="1231"/>
      <c r="AN61" s="1231"/>
      <c r="AO61" s="1231"/>
      <c r="AP61" s="1231"/>
      <c r="AQ61" s="1231"/>
      <c r="AR61" s="1231"/>
      <c r="AS61" s="1232"/>
      <c r="AT61" s="1650">
        <f>+'Sumaria renta 20x3'!C59</f>
        <v>1735037000</v>
      </c>
      <c r="AU61" s="417"/>
      <c r="AV61" s="417"/>
      <c r="AW61" s="1195"/>
      <c r="AX61" s="1195"/>
      <c r="AY61" s="1195"/>
      <c r="AZ61" s="1195"/>
      <c r="BA61" s="1195"/>
      <c r="BB61" s="1195"/>
      <c r="BC61" s="1195"/>
      <c r="BD61" s="1196"/>
    </row>
    <row r="62" spans="1:56" ht="18.75" customHeight="1" x14ac:dyDescent="0.25">
      <c r="A62" s="419"/>
      <c r="B62" s="1234"/>
      <c r="C62" s="1197" t="s">
        <v>1030</v>
      </c>
      <c r="D62" s="1197"/>
      <c r="E62" s="1197"/>
      <c r="F62" s="1197"/>
      <c r="G62" s="1197"/>
      <c r="H62" s="1197"/>
      <c r="I62" s="1197"/>
      <c r="J62" s="1197"/>
      <c r="K62" s="1197"/>
      <c r="L62" s="1197"/>
      <c r="M62" s="1197"/>
      <c r="N62" s="1197"/>
      <c r="O62" s="1198"/>
      <c r="P62" s="459">
        <v>74</v>
      </c>
      <c r="Q62" s="1199"/>
      <c r="R62" s="1200"/>
      <c r="S62" s="1200"/>
      <c r="T62" s="1200"/>
      <c r="U62" s="1200"/>
      <c r="V62" s="1200"/>
      <c r="W62" s="1200"/>
      <c r="X62" s="1200"/>
      <c r="Y62" s="1201"/>
      <c r="Z62" s="1202" t="s">
        <v>1223</v>
      </c>
      <c r="AA62" s="1203"/>
      <c r="AB62" s="1203"/>
      <c r="AC62" s="1203"/>
      <c r="AD62" s="1203"/>
      <c r="AE62" s="1203"/>
      <c r="AF62" s="1203"/>
      <c r="AG62" s="1203"/>
      <c r="AH62" s="1203"/>
      <c r="AI62" s="1203"/>
      <c r="AJ62" s="1204"/>
      <c r="AK62" s="492">
        <v>114</v>
      </c>
      <c r="AL62" s="1205"/>
      <c r="AM62" s="1206"/>
      <c r="AN62" s="1206"/>
      <c r="AO62" s="1206"/>
      <c r="AP62" s="1206"/>
      <c r="AQ62" s="1206"/>
      <c r="AR62" s="1206"/>
      <c r="AS62" s="1207"/>
      <c r="AT62" s="493">
        <f>+AT60-AT61</f>
        <v>-1735037000</v>
      </c>
      <c r="AU62" s="417"/>
      <c r="AV62" s="417"/>
      <c r="AW62" s="418"/>
      <c r="AX62" s="418"/>
      <c r="AY62" s="416"/>
      <c r="AZ62" s="416"/>
      <c r="BA62" s="416"/>
      <c r="BB62" s="416"/>
      <c r="BC62" s="416"/>
      <c r="BD62" s="416"/>
    </row>
    <row r="63" spans="1:56" ht="18.75" customHeight="1" x14ac:dyDescent="0.25">
      <c r="A63" s="419"/>
      <c r="B63" s="1235"/>
      <c r="C63" s="1208" t="s">
        <v>1224</v>
      </c>
      <c r="D63" s="1208"/>
      <c r="E63" s="1208"/>
      <c r="F63" s="1208"/>
      <c r="G63" s="1208"/>
      <c r="H63" s="1208"/>
      <c r="I63" s="1208"/>
      <c r="J63" s="1208"/>
      <c r="K63" s="1208"/>
      <c r="L63" s="1208"/>
      <c r="M63" s="1208"/>
      <c r="N63" s="1208"/>
      <c r="O63" s="1208"/>
      <c r="P63" s="491">
        <v>75</v>
      </c>
      <c r="Q63" s="1209">
        <f>+Q60-Q62</f>
        <v>0</v>
      </c>
      <c r="R63" s="1210"/>
      <c r="S63" s="1210"/>
      <c r="T63" s="1210"/>
      <c r="U63" s="1210"/>
      <c r="V63" s="1210"/>
      <c r="W63" s="1210"/>
      <c r="X63" s="1210"/>
      <c r="Y63" s="1211"/>
      <c r="Z63" s="1212" t="s">
        <v>1225</v>
      </c>
      <c r="AA63" s="1213"/>
      <c r="AB63" s="1213"/>
      <c r="AC63" s="1213"/>
      <c r="AD63" s="1213"/>
      <c r="AE63" s="1213"/>
      <c r="AF63" s="1213"/>
      <c r="AG63" s="1213"/>
      <c r="AH63" s="1213"/>
      <c r="AI63" s="1213"/>
      <c r="AJ63" s="1214"/>
      <c r="AK63" s="461">
        <v>115</v>
      </c>
      <c r="AL63" s="1215"/>
      <c r="AM63" s="1216"/>
      <c r="AN63" s="1216"/>
      <c r="AO63" s="1216"/>
      <c r="AP63" s="1216"/>
      <c r="AQ63" s="1216"/>
      <c r="AR63" s="1216"/>
      <c r="AS63" s="1217"/>
      <c r="AU63" s="417"/>
      <c r="AV63" s="417"/>
      <c r="AW63" s="418"/>
      <c r="AX63" s="418"/>
      <c r="AY63" s="416"/>
      <c r="AZ63" s="416"/>
      <c r="BA63" s="416"/>
      <c r="BB63" s="416"/>
      <c r="BC63" s="416"/>
      <c r="BD63" s="416"/>
    </row>
    <row r="64" spans="1:56" ht="4.5" customHeight="1" x14ac:dyDescent="0.25">
      <c r="A64" s="419"/>
      <c r="B64" s="494"/>
      <c r="C64" s="495" t="s">
        <v>1226</v>
      </c>
      <c r="D64" s="496"/>
      <c r="E64" s="496"/>
      <c r="F64" s="496"/>
      <c r="G64" s="496"/>
      <c r="H64" s="1182"/>
      <c r="I64" s="1182"/>
      <c r="J64" s="1182"/>
      <c r="K64" s="497"/>
      <c r="L64" s="497"/>
      <c r="M64" s="497"/>
      <c r="N64" s="497"/>
      <c r="O64" s="497"/>
      <c r="P64" s="498"/>
      <c r="Q64" s="499"/>
      <c r="R64" s="500"/>
      <c r="S64" s="500"/>
      <c r="T64" s="500"/>
      <c r="U64" s="501"/>
      <c r="V64" s="501"/>
      <c r="W64" s="501"/>
      <c r="X64" s="501"/>
      <c r="Y64" s="501"/>
      <c r="Z64" s="502"/>
      <c r="AA64" s="502"/>
      <c r="AB64" s="502"/>
      <c r="AC64" s="502"/>
      <c r="AD64" s="502"/>
      <c r="AE64" s="502"/>
      <c r="AF64" s="503"/>
      <c r="AG64" s="502"/>
      <c r="AH64" s="502"/>
      <c r="AI64" s="504"/>
      <c r="AJ64" s="504"/>
      <c r="AK64" s="504"/>
      <c r="AL64" s="504"/>
      <c r="AM64" s="504"/>
      <c r="AN64" s="505"/>
      <c r="AO64" s="505"/>
      <c r="AP64" s="506"/>
      <c r="AQ64" s="505"/>
      <c r="AR64" s="507"/>
      <c r="AS64" s="508"/>
      <c r="AU64" s="417"/>
      <c r="AV64" s="417"/>
      <c r="AW64" s="418"/>
    </row>
    <row r="65" spans="1:56" ht="16.5" customHeight="1" x14ac:dyDescent="0.25">
      <c r="A65" s="419"/>
      <c r="B65" s="1183" t="s">
        <v>1227</v>
      </c>
      <c r="C65" s="1184"/>
      <c r="D65" s="1184"/>
      <c r="E65" s="1184"/>
      <c r="F65" s="1184"/>
      <c r="G65" s="1184"/>
      <c r="H65" s="1184"/>
      <c r="I65" s="1185"/>
      <c r="J65" s="510"/>
      <c r="K65" s="511"/>
      <c r="L65" s="512"/>
      <c r="M65" s="512"/>
      <c r="N65" s="512"/>
      <c r="O65" s="512"/>
      <c r="P65" s="512"/>
      <c r="Q65" s="513"/>
      <c r="R65" s="514"/>
      <c r="S65" s="514"/>
      <c r="T65" s="514"/>
      <c r="U65" s="515"/>
      <c r="V65" s="515"/>
      <c r="W65" s="515"/>
      <c r="X65" s="515"/>
      <c r="Y65" s="515"/>
      <c r="AA65" s="515"/>
      <c r="AB65" s="515"/>
      <c r="AC65" s="515"/>
      <c r="AD65" s="515"/>
      <c r="AE65" s="515"/>
      <c r="AF65" s="516"/>
      <c r="AG65" s="419"/>
      <c r="AH65" s="419"/>
      <c r="AI65" s="419"/>
      <c r="AJ65" s="419"/>
      <c r="AK65" s="419"/>
      <c r="AL65" s="419"/>
      <c r="AM65" s="419"/>
      <c r="AN65" s="419"/>
      <c r="AO65" s="419"/>
      <c r="AP65" s="419"/>
      <c r="AQ65" s="419"/>
      <c r="AR65" s="419"/>
      <c r="AS65" s="517"/>
      <c r="AU65" s="417"/>
      <c r="AV65" s="417"/>
      <c r="AW65" s="418"/>
    </row>
    <row r="66" spans="1:56" ht="16.5" customHeight="1" x14ac:dyDescent="0.25">
      <c r="A66" s="419"/>
      <c r="B66" s="1186" t="s">
        <v>1228</v>
      </c>
      <c r="C66" s="1187"/>
      <c r="D66" s="1187"/>
      <c r="E66" s="1187"/>
      <c r="F66" s="1187"/>
      <c r="G66" s="1187"/>
      <c r="H66" s="1187"/>
      <c r="I66" s="1187"/>
      <c r="J66" s="1187"/>
      <c r="K66" s="1187"/>
      <c r="L66" s="1187"/>
      <c r="M66" s="1187"/>
      <c r="N66" s="496"/>
      <c r="O66" s="512"/>
      <c r="P66" s="512"/>
      <c r="Q66" s="513"/>
      <c r="R66" s="514"/>
      <c r="S66" s="514"/>
      <c r="T66" s="514"/>
      <c r="U66" s="515"/>
      <c r="V66" s="515"/>
      <c r="W66" s="515"/>
      <c r="X66" s="515"/>
      <c r="Y66" s="515"/>
      <c r="Z66" s="518"/>
      <c r="AA66" s="515"/>
      <c r="AB66" s="515"/>
      <c r="AC66" s="515"/>
      <c r="AD66" s="515"/>
      <c r="AE66" s="515"/>
      <c r="AF66" s="519"/>
      <c r="AG66" s="423"/>
      <c r="AH66" s="423"/>
      <c r="AI66" s="520" t="s">
        <v>1229</v>
      </c>
      <c r="AJ66" s="423"/>
      <c r="AK66" s="425"/>
      <c r="AL66" s="423"/>
      <c r="AM66" s="1188">
        <v>0</v>
      </c>
      <c r="AN66" s="1189"/>
      <c r="AO66" s="1189"/>
      <c r="AP66" s="1189"/>
      <c r="AQ66" s="1189"/>
      <c r="AR66" s="1189"/>
      <c r="AS66" s="1190"/>
      <c r="AU66" s="417"/>
      <c r="AV66" s="417"/>
      <c r="AW66" s="418"/>
    </row>
    <row r="67" spans="1:56" ht="10.5" customHeight="1" x14ac:dyDescent="0.25">
      <c r="A67" s="419"/>
      <c r="B67" s="521"/>
      <c r="C67" s="522"/>
      <c r="D67" s="523"/>
      <c r="E67" s="523"/>
      <c r="F67" s="523"/>
      <c r="G67" s="523"/>
      <c r="H67" s="523"/>
      <c r="I67" s="523"/>
      <c r="J67" s="523"/>
      <c r="K67" s="523"/>
      <c r="L67" s="523"/>
      <c r="M67" s="523"/>
      <c r="N67" s="523"/>
      <c r="O67" s="523"/>
      <c r="P67" s="523"/>
      <c r="Q67" s="524"/>
      <c r="R67" s="525"/>
      <c r="S67" s="525"/>
      <c r="T67" s="525"/>
      <c r="U67" s="526"/>
      <c r="V67" s="526"/>
      <c r="W67" s="526"/>
      <c r="X67" s="526"/>
      <c r="Y67" s="515"/>
      <c r="Z67" s="518"/>
      <c r="AA67" s="527"/>
      <c r="AB67" s="527"/>
      <c r="AC67" s="527"/>
      <c r="AD67" s="527"/>
      <c r="AE67" s="527"/>
      <c r="AF67" s="528"/>
      <c r="AG67" s="529"/>
      <c r="AH67" s="529"/>
      <c r="AI67" s="530"/>
      <c r="AJ67" s="529"/>
      <c r="AK67" s="531"/>
      <c r="AL67" s="529"/>
      <c r="AM67" s="532"/>
      <c r="AN67" s="532"/>
      <c r="AO67" s="532"/>
      <c r="AP67" s="532"/>
      <c r="AQ67" s="532"/>
      <c r="AR67" s="532"/>
      <c r="AS67" s="533"/>
      <c r="AU67" s="417"/>
      <c r="AV67" s="417"/>
      <c r="AW67" s="418"/>
    </row>
    <row r="68" spans="1:56" ht="15" customHeight="1" x14ac:dyDescent="0.25">
      <c r="B68" s="1183" t="s">
        <v>1230</v>
      </c>
      <c r="C68" s="1184"/>
      <c r="D68" s="1184"/>
      <c r="E68" s="1184"/>
      <c r="F68" s="1184"/>
      <c r="G68" s="1184"/>
      <c r="H68" s="1184"/>
      <c r="I68" s="1184"/>
      <c r="J68" s="534"/>
      <c r="K68" s="534"/>
      <c r="L68" s="534"/>
      <c r="M68" s="512"/>
      <c r="N68" s="535"/>
      <c r="O68" s="512"/>
      <c r="P68" s="512"/>
      <c r="Q68" s="524"/>
      <c r="R68" s="525"/>
      <c r="S68" s="525"/>
      <c r="T68" s="525"/>
      <c r="U68" s="526"/>
      <c r="V68" s="526"/>
      <c r="W68" s="526"/>
      <c r="X68" s="526"/>
      <c r="Y68" s="515"/>
      <c r="Z68" s="526"/>
      <c r="AA68" s="515"/>
      <c r="AB68" s="515"/>
      <c r="AC68" s="515"/>
      <c r="AD68" s="515"/>
      <c r="AE68" s="536"/>
      <c r="AF68" s="537"/>
      <c r="AG68" s="537"/>
      <c r="AH68" s="537"/>
      <c r="AI68" s="537"/>
      <c r="AJ68" s="537"/>
      <c r="AK68" s="538"/>
      <c r="AL68" s="539"/>
      <c r="AM68" s="539"/>
      <c r="AN68" s="539"/>
      <c r="AO68" s="539"/>
      <c r="AP68" s="539"/>
      <c r="AQ68" s="540"/>
      <c r="AR68" s="539"/>
      <c r="AS68" s="539"/>
      <c r="AU68" s="417"/>
      <c r="AV68" s="417"/>
      <c r="AW68" s="418"/>
    </row>
    <row r="69" spans="1:56" s="413" customFormat="1" ht="15" customHeight="1" x14ac:dyDescent="0.25">
      <c r="A69" s="412"/>
      <c r="B69" s="1191" t="s">
        <v>1231</v>
      </c>
      <c r="C69" s="1192"/>
      <c r="D69" s="1192"/>
      <c r="E69" s="1192"/>
      <c r="F69" s="1192"/>
      <c r="G69" s="1192"/>
      <c r="H69" s="1192"/>
      <c r="I69" s="1192"/>
      <c r="J69" s="1193" t="s">
        <v>1232</v>
      </c>
      <c r="K69" s="1193"/>
      <c r="L69" s="1193"/>
      <c r="M69" s="1193"/>
      <c r="N69" s="1193"/>
      <c r="O69" s="1194"/>
      <c r="P69" s="541"/>
      <c r="Q69" s="524"/>
      <c r="R69" s="525"/>
      <c r="S69" s="525"/>
      <c r="T69" s="525"/>
      <c r="U69" s="526"/>
      <c r="V69" s="526"/>
      <c r="W69" s="526"/>
      <c r="X69" s="526"/>
      <c r="Y69" s="526"/>
      <c r="Z69" s="526"/>
      <c r="AA69" s="515"/>
      <c r="AB69" s="515"/>
      <c r="AC69" s="515"/>
      <c r="AD69" s="515"/>
      <c r="AE69" s="536"/>
      <c r="AF69" s="537"/>
      <c r="AG69" s="537"/>
      <c r="AH69" s="537"/>
      <c r="AI69" s="537"/>
      <c r="AJ69" s="537"/>
      <c r="AK69" s="542"/>
      <c r="AL69" s="537"/>
      <c r="AM69" s="537"/>
      <c r="AN69" s="537"/>
      <c r="AO69" s="537"/>
      <c r="AP69" s="537"/>
      <c r="AQ69" s="537"/>
      <c r="AR69" s="537"/>
      <c r="AS69" s="537"/>
      <c r="AT69" s="416"/>
      <c r="AU69" s="417"/>
      <c r="AV69" s="417"/>
      <c r="AW69" s="418"/>
      <c r="AX69" s="418"/>
      <c r="AY69" s="416"/>
      <c r="AZ69" s="416"/>
      <c r="BA69" s="419"/>
      <c r="BB69" s="419"/>
      <c r="BC69" s="419"/>
      <c r="BD69" s="419"/>
    </row>
    <row r="70" spans="1:56" s="413" customFormat="1" ht="6" customHeight="1" x14ac:dyDescent="0.25">
      <c r="A70" s="412"/>
      <c r="B70" s="543"/>
      <c r="C70" s="512"/>
      <c r="D70" s="512"/>
      <c r="E70" s="512"/>
      <c r="F70" s="512"/>
      <c r="G70" s="512"/>
      <c r="H70" s="512"/>
      <c r="I70" s="512"/>
      <c r="J70" s="512"/>
      <c r="K70" s="512"/>
      <c r="L70" s="512"/>
      <c r="M70" s="512"/>
      <c r="N70" s="512"/>
      <c r="O70" s="512"/>
      <c r="P70" s="512"/>
      <c r="Q70" s="524"/>
      <c r="R70" s="525"/>
      <c r="S70" s="525"/>
      <c r="T70" s="525"/>
      <c r="U70" s="526"/>
      <c r="V70" s="526"/>
      <c r="W70" s="526"/>
      <c r="X70" s="526"/>
      <c r="Y70" s="526"/>
      <c r="Z70" s="526"/>
      <c r="AA70" s="515"/>
      <c r="AB70" s="515"/>
      <c r="AC70" s="515"/>
      <c r="AD70" s="515"/>
      <c r="AE70" s="536"/>
      <c r="AF70" s="537"/>
      <c r="AG70" s="537"/>
      <c r="AH70" s="537"/>
      <c r="AI70" s="537"/>
      <c r="AJ70" s="537"/>
      <c r="AK70" s="542"/>
      <c r="AL70" s="537"/>
      <c r="AM70" s="537"/>
      <c r="AN70" s="537"/>
      <c r="AO70" s="537"/>
      <c r="AP70" s="537"/>
      <c r="AQ70" s="537"/>
      <c r="AR70" s="537"/>
      <c r="AS70" s="537"/>
      <c r="AT70" s="416"/>
      <c r="AU70" s="417"/>
      <c r="AV70" s="417"/>
      <c r="AW70" s="418"/>
      <c r="AX70" s="418"/>
      <c r="AY70" s="416"/>
      <c r="AZ70" s="416"/>
      <c r="BA70" s="419"/>
      <c r="BB70" s="419"/>
      <c r="BC70" s="419"/>
      <c r="BD70" s="419"/>
    </row>
    <row r="71" spans="1:56" s="413" customFormat="1" ht="15" customHeight="1" x14ac:dyDescent="0.25">
      <c r="A71" s="412"/>
      <c r="B71" s="544" t="s">
        <v>1233</v>
      </c>
      <c r="C71" s="522"/>
      <c r="D71" s="523"/>
      <c r="E71" s="523"/>
      <c r="F71" s="545"/>
      <c r="G71" s="1180"/>
      <c r="H71" s="1181"/>
      <c r="I71" s="1181"/>
      <c r="J71" s="1181"/>
      <c r="K71" s="1181"/>
      <c r="L71" s="1181"/>
      <c r="M71" s="1181"/>
      <c r="N71" s="1181"/>
      <c r="O71" s="1181"/>
      <c r="P71" s="1181"/>
      <c r="Q71" s="546"/>
      <c r="R71" s="547"/>
      <c r="S71" s="547"/>
      <c r="T71" s="547"/>
      <c r="U71" s="548"/>
      <c r="V71" s="548"/>
      <c r="W71" s="548"/>
      <c r="X71" s="548"/>
      <c r="Y71" s="548"/>
      <c r="Z71" s="549"/>
      <c r="AA71" s="529"/>
      <c r="AB71" s="529"/>
      <c r="AC71" s="529"/>
      <c r="AD71" s="529"/>
      <c r="AE71" s="550"/>
      <c r="AF71" s="537"/>
      <c r="AG71" s="537"/>
      <c r="AH71" s="537"/>
      <c r="AI71" s="537"/>
      <c r="AJ71" s="537"/>
      <c r="AK71" s="542"/>
      <c r="AL71" s="537"/>
      <c r="AM71" s="537"/>
      <c r="AN71" s="537"/>
      <c r="AO71" s="537"/>
      <c r="AP71" s="537"/>
      <c r="AQ71" s="537"/>
      <c r="AR71" s="537"/>
      <c r="AS71" s="537"/>
      <c r="AT71" s="416"/>
      <c r="AU71" s="417"/>
      <c r="AV71" s="417"/>
      <c r="AW71" s="418"/>
      <c r="AX71" s="418"/>
      <c r="AY71" s="416"/>
      <c r="AZ71" s="416"/>
      <c r="BA71" s="419"/>
      <c r="BB71" s="419"/>
      <c r="BC71" s="419"/>
      <c r="BD71" s="419"/>
    </row>
    <row r="72" spans="1:56" s="413" customFormat="1" ht="15" customHeight="1" x14ac:dyDescent="0.25">
      <c r="A72" s="412"/>
      <c r="B72" s="551"/>
      <c r="C72" s="552"/>
      <c r="D72" s="551"/>
      <c r="E72" s="551"/>
      <c r="F72" s="551"/>
      <c r="G72" s="551"/>
      <c r="H72" s="551"/>
      <c r="I72" s="551"/>
      <c r="J72" s="551"/>
      <c r="K72" s="551"/>
      <c r="L72" s="551"/>
      <c r="M72" s="551"/>
      <c r="N72" s="551"/>
      <c r="O72" s="551"/>
      <c r="P72" s="551"/>
      <c r="Q72" s="553"/>
      <c r="R72" s="553"/>
      <c r="S72" s="553"/>
      <c r="T72" s="553"/>
      <c r="U72" s="551"/>
      <c r="V72" s="551"/>
      <c r="W72" s="554"/>
      <c r="X72" s="551"/>
      <c r="Y72" s="551"/>
      <c r="AA72" s="551"/>
      <c r="AB72" s="551"/>
      <c r="AC72" s="551"/>
      <c r="AD72" s="551"/>
      <c r="AE72" s="551"/>
      <c r="AF72" s="537"/>
      <c r="AG72" s="537"/>
      <c r="AH72" s="537"/>
      <c r="AI72" s="537"/>
      <c r="AJ72" s="537"/>
      <c r="AK72" s="542"/>
      <c r="AL72" s="537"/>
      <c r="AM72" s="537"/>
      <c r="AN72" s="537"/>
      <c r="AO72" s="537"/>
      <c r="AP72" s="537"/>
      <c r="AQ72" s="537"/>
      <c r="AR72" s="537"/>
      <c r="AS72" s="537"/>
      <c r="AT72" s="416"/>
      <c r="AU72" s="417"/>
      <c r="AV72" s="417"/>
      <c r="AW72" s="418"/>
      <c r="AX72" s="418"/>
      <c r="AY72" s="416"/>
      <c r="AZ72" s="416"/>
      <c r="BA72" s="419"/>
      <c r="BB72" s="419"/>
      <c r="BC72" s="419"/>
      <c r="BD72" s="419"/>
    </row>
    <row r="73" spans="1:56" x14ac:dyDescent="0.25">
      <c r="B73" s="551"/>
      <c r="C73" s="512"/>
      <c r="D73" s="551"/>
      <c r="E73" s="551"/>
      <c r="F73" s="551"/>
      <c r="G73" s="551"/>
      <c r="H73" s="551"/>
      <c r="I73" s="551"/>
      <c r="J73" s="551"/>
      <c r="K73" s="551"/>
      <c r="L73" s="551"/>
      <c r="M73" s="551"/>
      <c r="N73" s="551"/>
      <c r="O73" s="551"/>
      <c r="P73" s="551"/>
      <c r="Q73" s="553"/>
      <c r="R73" s="553"/>
      <c r="S73" s="553"/>
      <c r="T73" s="553"/>
      <c r="U73" s="551"/>
      <c r="V73" s="551"/>
      <c r="W73" s="551"/>
      <c r="X73" s="551"/>
      <c r="Y73" s="551"/>
      <c r="Z73" s="551"/>
      <c r="AA73" s="551"/>
      <c r="AB73" s="551"/>
      <c r="AC73" s="551"/>
      <c r="AD73" s="551"/>
      <c r="AE73" s="551"/>
      <c r="AF73" s="551"/>
      <c r="AG73" s="551"/>
      <c r="AH73" s="551"/>
      <c r="AI73" s="551"/>
      <c r="AJ73" s="551"/>
      <c r="AK73" s="538"/>
      <c r="AL73" s="551"/>
      <c r="AM73" s="551"/>
      <c r="AN73" s="551"/>
      <c r="AO73" s="551"/>
      <c r="AP73" s="551"/>
      <c r="AQ73" s="551"/>
      <c r="AR73" s="551"/>
      <c r="AS73" s="551"/>
      <c r="AU73" s="417"/>
      <c r="AV73" s="417"/>
      <c r="AW73" s="418"/>
      <c r="AX73" s="418"/>
      <c r="AY73" s="416"/>
      <c r="AZ73" s="416"/>
    </row>
    <row r="74" spans="1:56" x14ac:dyDescent="0.25">
      <c r="B74" s="551"/>
      <c r="C74" s="512"/>
      <c r="D74" s="551"/>
      <c r="E74" s="551"/>
      <c r="F74" s="551"/>
      <c r="G74" s="551"/>
      <c r="H74" s="551"/>
      <c r="I74" s="551"/>
      <c r="J74" s="551"/>
      <c r="K74" s="551"/>
      <c r="L74" s="551"/>
      <c r="M74" s="551"/>
      <c r="N74" s="551"/>
      <c r="O74" s="551"/>
      <c r="P74" s="551"/>
      <c r="Q74" s="553"/>
      <c r="R74" s="553"/>
      <c r="S74" s="553"/>
      <c r="T74" s="553"/>
      <c r="U74" s="551"/>
      <c r="V74" s="551"/>
      <c r="W74" s="551"/>
      <c r="X74" s="551"/>
      <c r="Y74" s="551"/>
      <c r="Z74" s="551"/>
      <c r="AA74" s="551"/>
      <c r="AB74" s="551"/>
      <c r="AC74" s="551"/>
      <c r="AD74" s="551"/>
      <c r="AE74" s="551"/>
      <c r="AF74" s="551"/>
      <c r="AG74" s="551"/>
      <c r="AH74" s="551"/>
      <c r="AI74" s="551"/>
      <c r="AJ74" s="551"/>
      <c r="AK74" s="538"/>
      <c r="AL74" s="551"/>
      <c r="AM74" s="551"/>
      <c r="AN74" s="551"/>
      <c r="AO74" s="551"/>
      <c r="AP74" s="551"/>
      <c r="AQ74" s="551"/>
      <c r="AR74" s="551"/>
      <c r="AS74" s="551"/>
      <c r="AU74" s="417"/>
      <c r="AV74" s="417"/>
      <c r="AW74" s="418"/>
      <c r="AX74" s="418"/>
      <c r="AY74" s="416"/>
      <c r="AZ74" s="416"/>
    </row>
    <row r="75" spans="1:56" x14ac:dyDescent="0.25">
      <c r="B75" s="551"/>
      <c r="C75" s="551"/>
      <c r="D75" s="551"/>
      <c r="E75" s="551"/>
      <c r="F75" s="551"/>
      <c r="G75" s="551"/>
      <c r="H75" s="551"/>
      <c r="I75" s="551"/>
      <c r="J75" s="551"/>
      <c r="K75" s="551"/>
      <c r="L75" s="551"/>
      <c r="M75" s="551"/>
      <c r="N75" s="551"/>
      <c r="O75" s="551"/>
      <c r="P75" s="551"/>
      <c r="Q75" s="553"/>
      <c r="R75" s="553"/>
      <c r="S75" s="553"/>
      <c r="T75" s="553"/>
      <c r="U75" s="551"/>
      <c r="V75" s="551"/>
      <c r="W75" s="551"/>
      <c r="X75" s="551"/>
      <c r="Y75" s="551"/>
      <c r="Z75" s="551"/>
      <c r="AA75" s="551"/>
      <c r="AB75" s="551"/>
      <c r="AC75" s="551"/>
      <c r="AD75" s="551"/>
      <c r="AE75" s="551"/>
      <c r="AF75" s="551"/>
      <c r="AG75" s="551"/>
      <c r="AH75" s="551"/>
      <c r="AI75" s="551"/>
      <c r="AJ75" s="551"/>
      <c r="AK75" s="538"/>
      <c r="AL75" s="551"/>
      <c r="AM75" s="551"/>
      <c r="AN75" s="551"/>
      <c r="AO75" s="551"/>
      <c r="AP75" s="551"/>
      <c r="AQ75" s="551"/>
      <c r="AR75" s="551"/>
      <c r="AS75" s="551"/>
      <c r="AU75" s="417"/>
      <c r="AV75" s="417"/>
      <c r="AW75" s="418"/>
      <c r="AX75" s="418"/>
      <c r="AY75" s="416"/>
      <c r="AZ75" s="416"/>
    </row>
    <row r="76" spans="1:56" x14ac:dyDescent="0.25">
      <c r="B76" s="551"/>
      <c r="C76" s="551"/>
      <c r="D76" s="551"/>
      <c r="E76" s="551"/>
      <c r="F76" s="551"/>
      <c r="G76" s="551"/>
      <c r="H76" s="551"/>
      <c r="I76" s="551"/>
      <c r="J76" s="551"/>
      <c r="K76" s="551"/>
      <c r="L76" s="551"/>
      <c r="M76" s="551"/>
      <c r="N76" s="551"/>
      <c r="O76" s="551"/>
      <c r="P76" s="551"/>
      <c r="Q76" s="553"/>
      <c r="R76" s="553"/>
      <c r="S76" s="553"/>
      <c r="T76" s="553"/>
      <c r="U76" s="551"/>
      <c r="V76" s="551"/>
      <c r="W76" s="551"/>
      <c r="X76" s="551"/>
      <c r="Y76" s="551"/>
      <c r="Z76" s="551"/>
      <c r="AA76" s="551"/>
      <c r="AB76" s="551"/>
      <c r="AC76" s="551"/>
      <c r="AD76" s="551"/>
      <c r="AE76" s="551"/>
      <c r="AF76" s="551"/>
      <c r="AG76" s="551"/>
      <c r="AH76" s="551"/>
      <c r="AI76" s="551"/>
      <c r="AJ76" s="551"/>
      <c r="AK76" s="538"/>
      <c r="AL76" s="551"/>
      <c r="AM76" s="551"/>
      <c r="AN76" s="551"/>
      <c r="AO76" s="551"/>
      <c r="AP76" s="551"/>
      <c r="AQ76" s="551"/>
      <c r="AR76" s="551"/>
      <c r="AS76" s="551"/>
      <c r="AU76" s="417"/>
      <c r="AV76" s="417"/>
      <c r="AW76" s="418"/>
      <c r="AX76" s="418"/>
      <c r="AY76" s="416"/>
      <c r="AZ76" s="416"/>
    </row>
    <row r="77" spans="1:56" x14ac:dyDescent="0.25">
      <c r="B77" s="551"/>
      <c r="C77" s="551"/>
      <c r="D77" s="551"/>
      <c r="E77" s="551"/>
      <c r="F77" s="551"/>
      <c r="G77" s="551"/>
      <c r="H77" s="551"/>
      <c r="I77" s="551"/>
      <c r="J77" s="551"/>
      <c r="K77" s="551"/>
      <c r="L77" s="551"/>
      <c r="M77" s="551"/>
      <c r="N77" s="551"/>
      <c r="O77" s="551"/>
      <c r="P77" s="551"/>
      <c r="Q77" s="553"/>
      <c r="R77" s="553"/>
      <c r="S77" s="553"/>
      <c r="T77" s="553"/>
      <c r="U77" s="551"/>
      <c r="V77" s="551"/>
      <c r="W77" s="551"/>
      <c r="X77" s="551"/>
      <c r="Y77" s="551"/>
      <c r="Z77" s="551"/>
      <c r="AA77" s="551"/>
      <c r="AB77" s="551"/>
      <c r="AC77" s="551"/>
      <c r="AD77" s="551"/>
      <c r="AE77" s="551"/>
      <c r="AF77" s="551"/>
      <c r="AG77" s="551"/>
      <c r="AH77" s="551"/>
      <c r="AI77" s="551"/>
      <c r="AJ77" s="551"/>
      <c r="AK77" s="538"/>
      <c r="AL77" s="551"/>
      <c r="AM77" s="551"/>
      <c r="AN77" s="551"/>
      <c r="AO77" s="551"/>
      <c r="AP77" s="551"/>
      <c r="AQ77" s="551"/>
      <c r="AR77" s="551"/>
      <c r="AS77" s="551"/>
      <c r="AU77" s="417"/>
      <c r="AV77" s="417"/>
      <c r="AW77" s="418"/>
      <c r="AX77" s="418"/>
      <c r="AY77" s="416"/>
      <c r="AZ77" s="416"/>
    </row>
    <row r="78" spans="1:56" x14ac:dyDescent="0.25">
      <c r="B78" s="551"/>
      <c r="C78" s="551"/>
      <c r="D78" s="551"/>
      <c r="E78" s="551"/>
      <c r="F78" s="551"/>
      <c r="G78" s="551"/>
      <c r="H78" s="551"/>
      <c r="I78" s="551"/>
      <c r="J78" s="551"/>
      <c r="K78" s="551"/>
      <c r="L78" s="551"/>
      <c r="M78" s="551"/>
      <c r="N78" s="551"/>
      <c r="O78" s="551"/>
      <c r="P78" s="551"/>
      <c r="Q78" s="553"/>
      <c r="R78" s="553"/>
      <c r="S78" s="553"/>
      <c r="T78" s="553"/>
      <c r="U78" s="551"/>
      <c r="V78" s="551"/>
      <c r="W78" s="551"/>
      <c r="X78" s="551"/>
      <c r="Y78" s="551"/>
      <c r="Z78" s="551"/>
      <c r="AA78" s="551"/>
      <c r="AB78" s="551"/>
      <c r="AC78" s="551"/>
      <c r="AD78" s="551"/>
      <c r="AE78" s="551"/>
      <c r="AF78" s="551"/>
      <c r="AG78" s="551"/>
      <c r="AH78" s="551"/>
      <c r="AI78" s="551"/>
      <c r="AJ78" s="551"/>
      <c r="AK78" s="538"/>
      <c r="AL78" s="551"/>
      <c r="AM78" s="551"/>
      <c r="AN78" s="551"/>
      <c r="AO78" s="551"/>
      <c r="AP78" s="551"/>
      <c r="AQ78" s="551"/>
      <c r="AR78" s="551"/>
      <c r="AS78" s="551"/>
      <c r="AU78" s="417"/>
      <c r="AV78" s="417"/>
      <c r="AW78" s="418"/>
      <c r="AX78" s="418"/>
      <c r="AY78" s="416"/>
      <c r="AZ78" s="416"/>
    </row>
    <row r="79" spans="1:56" x14ac:dyDescent="0.25">
      <c r="B79" s="551"/>
      <c r="C79" s="551"/>
      <c r="D79" s="551"/>
      <c r="E79" s="551"/>
      <c r="F79" s="551"/>
      <c r="G79" s="551"/>
      <c r="H79" s="551"/>
      <c r="I79" s="551"/>
      <c r="J79" s="551"/>
      <c r="K79" s="551"/>
      <c r="L79" s="551"/>
      <c r="M79" s="551"/>
      <c r="N79" s="551"/>
      <c r="O79" s="551"/>
      <c r="P79" s="551"/>
      <c r="Q79" s="553"/>
      <c r="R79" s="553"/>
      <c r="S79" s="553"/>
      <c r="T79" s="553"/>
      <c r="U79" s="551"/>
      <c r="V79" s="551"/>
      <c r="W79" s="551"/>
      <c r="X79" s="551"/>
      <c r="Y79" s="551"/>
      <c r="Z79" s="551"/>
      <c r="AA79" s="551"/>
      <c r="AB79" s="551"/>
      <c r="AC79" s="551"/>
      <c r="AD79" s="551"/>
      <c r="AE79" s="551"/>
      <c r="AF79" s="551"/>
      <c r="AG79" s="551"/>
      <c r="AH79" s="551"/>
      <c r="AI79" s="551"/>
      <c r="AJ79" s="551"/>
      <c r="AK79" s="538"/>
      <c r="AL79" s="551"/>
      <c r="AM79" s="551"/>
      <c r="AN79" s="551"/>
      <c r="AO79" s="551"/>
      <c r="AP79" s="551"/>
      <c r="AQ79" s="551"/>
      <c r="AR79" s="551"/>
      <c r="AS79" s="551"/>
      <c r="AU79" s="417"/>
      <c r="AV79" s="417"/>
      <c r="AW79" s="418"/>
      <c r="AX79" s="418"/>
      <c r="AY79" s="416"/>
      <c r="AZ79" s="416"/>
    </row>
    <row r="80" spans="1:56" x14ac:dyDescent="0.25">
      <c r="B80" s="551"/>
      <c r="C80" s="551"/>
      <c r="D80" s="551"/>
      <c r="E80" s="551"/>
      <c r="F80" s="551"/>
      <c r="G80" s="551"/>
      <c r="H80" s="551"/>
      <c r="I80" s="551"/>
      <c r="J80" s="551"/>
      <c r="K80" s="551"/>
      <c r="L80" s="551"/>
      <c r="M80" s="551"/>
      <c r="N80" s="551"/>
      <c r="O80" s="551"/>
      <c r="P80" s="551"/>
      <c r="Q80" s="553"/>
      <c r="R80" s="553"/>
      <c r="S80" s="553"/>
      <c r="T80" s="553"/>
      <c r="U80" s="551"/>
      <c r="V80" s="551"/>
      <c r="W80" s="551"/>
      <c r="X80" s="551"/>
      <c r="Y80" s="551"/>
      <c r="Z80" s="551"/>
      <c r="AA80" s="551"/>
      <c r="AB80" s="551"/>
      <c r="AC80" s="551"/>
      <c r="AD80" s="551"/>
      <c r="AE80" s="551"/>
      <c r="AF80" s="551"/>
      <c r="AG80" s="551"/>
      <c r="AH80" s="551"/>
      <c r="AI80" s="551"/>
      <c r="AJ80" s="551"/>
      <c r="AK80" s="538"/>
      <c r="AL80" s="551"/>
      <c r="AM80" s="551"/>
      <c r="AN80" s="551"/>
      <c r="AO80" s="551"/>
      <c r="AP80" s="551"/>
      <c r="AQ80" s="551"/>
      <c r="AR80" s="551"/>
      <c r="AS80" s="551"/>
      <c r="AU80" s="417"/>
    </row>
    <row r="81" spans="2:47" x14ac:dyDescent="0.25">
      <c r="B81" s="551"/>
      <c r="C81" s="551"/>
      <c r="D81" s="551"/>
      <c r="E81" s="551"/>
      <c r="F81" s="551"/>
      <c r="G81" s="551"/>
      <c r="H81" s="551"/>
      <c r="I81" s="551"/>
      <c r="J81" s="551"/>
      <c r="K81" s="551"/>
      <c r="L81" s="551"/>
      <c r="M81" s="551"/>
      <c r="N81" s="551"/>
      <c r="O81" s="551"/>
      <c r="P81" s="551"/>
      <c r="Q81" s="553"/>
      <c r="R81" s="553"/>
      <c r="S81" s="553"/>
      <c r="T81" s="553"/>
      <c r="U81" s="551"/>
      <c r="V81" s="551"/>
      <c r="W81" s="551"/>
      <c r="X81" s="551"/>
      <c r="Y81" s="551"/>
      <c r="Z81" s="551"/>
      <c r="AA81" s="551"/>
      <c r="AB81" s="551"/>
      <c r="AC81" s="551"/>
      <c r="AD81" s="551"/>
      <c r="AE81" s="551"/>
      <c r="AF81" s="551"/>
      <c r="AG81" s="551"/>
      <c r="AH81" s="551"/>
      <c r="AI81" s="551"/>
      <c r="AJ81" s="551"/>
      <c r="AK81" s="538"/>
      <c r="AL81" s="551"/>
      <c r="AM81" s="551"/>
      <c r="AN81" s="551"/>
      <c r="AO81" s="551"/>
      <c r="AP81" s="551"/>
      <c r="AQ81" s="551"/>
      <c r="AR81" s="551"/>
      <c r="AS81" s="551"/>
      <c r="AU81" s="417"/>
    </row>
    <row r="82" spans="2:47" x14ac:dyDescent="0.25">
      <c r="B82" s="551"/>
      <c r="C82" s="551"/>
      <c r="D82" s="551"/>
      <c r="E82" s="551"/>
      <c r="F82" s="551"/>
      <c r="G82" s="551"/>
      <c r="H82" s="551"/>
      <c r="I82" s="551"/>
      <c r="J82" s="551"/>
      <c r="K82" s="551"/>
      <c r="L82" s="551"/>
      <c r="M82" s="551"/>
      <c r="N82" s="551"/>
      <c r="O82" s="551"/>
      <c r="P82" s="551"/>
      <c r="Q82" s="553"/>
      <c r="R82" s="553"/>
      <c r="S82" s="553"/>
      <c r="T82" s="553"/>
      <c r="U82" s="551"/>
      <c r="V82" s="551"/>
      <c r="W82" s="551"/>
      <c r="X82" s="551"/>
      <c r="Y82" s="551"/>
      <c r="Z82" s="551"/>
      <c r="AA82" s="551"/>
      <c r="AB82" s="551"/>
      <c r="AC82" s="551"/>
      <c r="AD82" s="551"/>
      <c r="AE82" s="551"/>
      <c r="AF82" s="551"/>
      <c r="AG82" s="551"/>
      <c r="AH82" s="551"/>
      <c r="AI82" s="551"/>
      <c r="AJ82" s="551"/>
      <c r="AK82" s="538"/>
      <c r="AL82" s="551"/>
      <c r="AM82" s="551"/>
      <c r="AN82" s="551"/>
      <c r="AO82" s="551"/>
      <c r="AP82" s="551"/>
      <c r="AQ82" s="551"/>
      <c r="AR82" s="551"/>
      <c r="AS82" s="551"/>
    </row>
    <row r="83" spans="2:47" x14ac:dyDescent="0.25">
      <c r="C83" s="551"/>
      <c r="Z83" s="551"/>
      <c r="AF83" s="551"/>
      <c r="AG83" s="551"/>
      <c r="AH83" s="551"/>
      <c r="AI83" s="551"/>
      <c r="AJ83" s="551"/>
      <c r="AK83" s="538"/>
      <c r="AL83" s="551"/>
      <c r="AM83" s="551"/>
      <c r="AN83" s="551"/>
      <c r="AO83" s="551"/>
      <c r="AP83" s="551"/>
      <c r="AQ83" s="551"/>
      <c r="AR83" s="551"/>
      <c r="AS83" s="551"/>
    </row>
    <row r="84" spans="2:47" x14ac:dyDescent="0.25">
      <c r="C84" s="551"/>
    </row>
    <row r="85" spans="2:47" x14ac:dyDescent="0.25">
      <c r="C85" s="551"/>
    </row>
    <row r="19996" spans="2:26" x14ac:dyDescent="0.25">
      <c r="B19996" s="556"/>
      <c r="C19996" s="556"/>
      <c r="D19996" s="556"/>
      <c r="E19996" s="556"/>
      <c r="F19996" s="556"/>
      <c r="G19996" s="556"/>
      <c r="H19996" s="556"/>
      <c r="I19996" s="556"/>
      <c r="J19996" s="556"/>
      <c r="K19996" s="556"/>
      <c r="L19996" s="556"/>
      <c r="M19996" s="556"/>
      <c r="N19996" s="556"/>
      <c r="O19996" s="556"/>
      <c r="P19996" s="556"/>
      <c r="Q19996" s="557"/>
      <c r="R19996" s="557"/>
      <c r="S19996" s="557"/>
      <c r="T19996" s="557"/>
      <c r="U19996" s="556"/>
      <c r="V19996" s="556"/>
      <c r="W19996" s="556"/>
      <c r="X19996" s="556"/>
      <c r="Y19996" s="556"/>
      <c r="Z19996" s="556"/>
    </row>
    <row r="19997" spans="2:26" x14ac:dyDescent="0.25">
      <c r="B19997" s="556"/>
      <c r="C19997" s="556"/>
      <c r="D19997" s="556"/>
      <c r="E19997" s="556"/>
      <c r="F19997" s="556"/>
      <c r="G19997" s="556"/>
      <c r="H19997" s="556"/>
      <c r="I19997" s="556"/>
      <c r="J19997" s="556"/>
      <c r="K19997" s="556"/>
      <c r="L19997" s="556"/>
      <c r="M19997" s="556"/>
      <c r="N19997" s="556"/>
      <c r="O19997" s="556"/>
      <c r="P19997" s="556"/>
      <c r="Q19997" s="557"/>
      <c r="R19997" s="557"/>
      <c r="S19997" s="557"/>
      <c r="T19997" s="557"/>
      <c r="U19997" s="556"/>
      <c r="V19997" s="556"/>
      <c r="W19997" s="556"/>
      <c r="X19997" s="556"/>
      <c r="Y19997" s="556"/>
      <c r="Z19997" s="556"/>
    </row>
    <row r="19998" spans="2:26" x14ac:dyDescent="0.25">
      <c r="B19998" s="556"/>
      <c r="C19998" s="556"/>
      <c r="D19998" s="556"/>
      <c r="E19998" s="556"/>
      <c r="F19998" s="556"/>
      <c r="G19998" s="556"/>
      <c r="H19998" s="556"/>
      <c r="I19998" s="556"/>
      <c r="J19998" s="556"/>
      <c r="K19998" s="556"/>
      <c r="L19998" s="556"/>
      <c r="M19998" s="556"/>
      <c r="N19998" s="556"/>
      <c r="O19998" s="556"/>
      <c r="P19998" s="556"/>
      <c r="Q19998" s="557"/>
      <c r="R19998" s="557"/>
      <c r="S19998" s="557"/>
      <c r="T19998" s="557"/>
      <c r="U19998" s="556"/>
      <c r="V19998" s="556"/>
      <c r="W19998" s="556"/>
      <c r="X19998" s="556"/>
      <c r="Y19998" s="556"/>
      <c r="Z19998" s="556"/>
    </row>
    <row r="19999" spans="2:26" x14ac:dyDescent="0.25">
      <c r="B19999" s="556"/>
      <c r="C19999" s="556"/>
      <c r="D19999" s="556"/>
      <c r="E19999" s="556"/>
      <c r="F19999" s="556"/>
      <c r="G19999" s="556"/>
      <c r="H19999" s="556"/>
      <c r="I19999" s="556"/>
      <c r="J19999" s="556"/>
      <c r="K19999" s="556"/>
      <c r="L19999" s="556"/>
      <c r="M19999" s="556"/>
      <c r="N19999" s="556"/>
      <c r="O19999" s="556"/>
      <c r="P19999" s="556"/>
      <c r="Q19999" s="557"/>
      <c r="R19999" s="557"/>
      <c r="S19999" s="557"/>
      <c r="T19999" s="557"/>
      <c r="U19999" s="556"/>
      <c r="V19999" s="556"/>
      <c r="W19999" s="556"/>
      <c r="X19999" s="556"/>
      <c r="Y19999" s="556"/>
      <c r="Z19999" s="556"/>
    </row>
    <row r="20000" spans="2:26" x14ac:dyDescent="0.25">
      <c r="B20000" s="556"/>
      <c r="C20000" s="556"/>
      <c r="D20000" s="556"/>
      <c r="E20000" s="556"/>
      <c r="F20000" s="556"/>
      <c r="G20000" s="556"/>
      <c r="H20000" s="556"/>
      <c r="I20000" s="556"/>
      <c r="J20000" s="556"/>
      <c r="K20000" s="556"/>
      <c r="L20000" s="556"/>
      <c r="M20000" s="556"/>
      <c r="N20000" s="556"/>
      <c r="O20000" s="556"/>
      <c r="P20000" s="556"/>
      <c r="Q20000" s="557"/>
      <c r="R20000" s="557"/>
      <c r="S20000" s="557"/>
      <c r="T20000" s="557"/>
      <c r="U20000" s="556"/>
      <c r="V20000" s="556"/>
      <c r="W20000" s="556"/>
      <c r="X20000" s="556"/>
      <c r="Y20000" s="556"/>
      <c r="Z20000" s="556"/>
    </row>
    <row r="20001" spans="1:50" x14ac:dyDescent="0.25">
      <c r="B20001" s="556"/>
      <c r="C20001" s="556"/>
      <c r="D20001" s="556"/>
      <c r="E20001" s="556"/>
      <c r="F20001" s="556"/>
      <c r="G20001" s="556"/>
      <c r="H20001" s="556"/>
      <c r="I20001" s="556"/>
      <c r="J20001" s="556"/>
      <c r="K20001" s="556"/>
      <c r="L20001" s="556"/>
      <c r="M20001" s="556"/>
      <c r="N20001" s="556"/>
      <c r="O20001" s="556"/>
      <c r="P20001" s="556"/>
      <c r="Q20001" s="557"/>
      <c r="R20001" s="557"/>
      <c r="S20001" s="557"/>
      <c r="T20001" s="557"/>
      <c r="U20001" s="556"/>
      <c r="V20001" s="556"/>
      <c r="W20001" s="556"/>
      <c r="X20001" s="556"/>
      <c r="Y20001" s="556"/>
      <c r="Z20001" s="556"/>
    </row>
    <row r="20002" spans="1:50" x14ac:dyDescent="0.25">
      <c r="B20002" s="556"/>
      <c r="C20002" s="556"/>
      <c r="D20002" s="556"/>
      <c r="E20002" s="556"/>
      <c r="F20002" s="556"/>
      <c r="G20002" s="556"/>
      <c r="H20002" s="556"/>
      <c r="I20002" s="556"/>
      <c r="J20002" s="556"/>
      <c r="K20002" s="556"/>
      <c r="L20002" s="556"/>
      <c r="M20002" s="556"/>
      <c r="N20002" s="556"/>
      <c r="O20002" s="556"/>
      <c r="P20002" s="556"/>
      <c r="Q20002" s="557"/>
      <c r="R20002" s="557"/>
      <c r="S20002" s="557"/>
      <c r="T20002" s="557"/>
      <c r="U20002" s="556"/>
      <c r="V20002" s="556"/>
      <c r="W20002" s="556"/>
      <c r="X20002" s="556"/>
      <c r="Y20002" s="556"/>
      <c r="Z20002" s="556"/>
    </row>
    <row r="20003" spans="1:50" x14ac:dyDescent="0.25">
      <c r="B20003" s="556"/>
      <c r="C20003" s="556"/>
      <c r="D20003" s="556"/>
      <c r="E20003" s="556"/>
      <c r="F20003" s="558">
        <v>0</v>
      </c>
      <c r="G20003" s="556"/>
      <c r="H20003" s="556"/>
      <c r="I20003" s="556"/>
      <c r="J20003" s="556"/>
      <c r="K20003" s="556"/>
      <c r="L20003" s="556"/>
      <c r="M20003" s="556"/>
      <c r="N20003" s="556"/>
      <c r="O20003" s="556"/>
      <c r="P20003" s="556"/>
      <c r="Q20003" s="557"/>
      <c r="R20003" s="557"/>
      <c r="S20003" s="557"/>
      <c r="T20003" s="557"/>
      <c r="U20003" s="556"/>
      <c r="V20003" s="556"/>
      <c r="W20003" s="556"/>
      <c r="X20003" s="556"/>
      <c r="Y20003" s="556"/>
      <c r="Z20003" s="556"/>
    </row>
    <row r="20004" spans="1:50" x14ac:dyDescent="0.25">
      <c r="B20004" s="556"/>
      <c r="C20004" s="556"/>
      <c r="D20004" s="556"/>
      <c r="E20004" s="556"/>
      <c r="F20004" s="558">
        <v>0</v>
      </c>
      <c r="G20004" s="556"/>
      <c r="H20004" s="556"/>
      <c r="I20004" s="556"/>
      <c r="J20004" s="556"/>
      <c r="K20004" s="556"/>
      <c r="L20004" s="556"/>
      <c r="M20004" s="556"/>
      <c r="N20004" s="556"/>
      <c r="O20004" s="556"/>
      <c r="P20004" s="556"/>
      <c r="Q20004" s="557"/>
      <c r="R20004" s="557"/>
      <c r="S20004" s="557"/>
      <c r="T20004" s="557"/>
      <c r="U20004" s="556"/>
      <c r="V20004" s="556"/>
      <c r="W20004" s="556"/>
      <c r="X20004" s="556"/>
      <c r="Y20004" s="556"/>
      <c r="Z20004" s="556"/>
    </row>
    <row r="20005" spans="1:50" s="564" customFormat="1" x14ac:dyDescent="0.25">
      <c r="A20005" s="559"/>
      <c r="B20005" s="556"/>
      <c r="C20005" s="556"/>
      <c r="D20005" s="556"/>
      <c r="E20005" s="556"/>
      <c r="F20005" s="558">
        <v>0</v>
      </c>
      <c r="G20005" s="556"/>
      <c r="H20005" s="556"/>
      <c r="I20005" s="556"/>
      <c r="J20005" s="556"/>
      <c r="K20005" s="556"/>
      <c r="L20005" s="556"/>
      <c r="M20005" s="556"/>
      <c r="N20005" s="556"/>
      <c r="O20005" s="556"/>
      <c r="P20005" s="556"/>
      <c r="Q20005" s="557"/>
      <c r="R20005" s="557"/>
      <c r="S20005" s="557"/>
      <c r="T20005" s="557"/>
      <c r="U20005" s="556"/>
      <c r="V20005" s="556"/>
      <c r="W20005" s="556"/>
      <c r="X20005" s="556"/>
      <c r="Y20005" s="556"/>
      <c r="Z20005" s="556"/>
      <c r="AA20005" s="556"/>
      <c r="AB20005" s="556"/>
      <c r="AC20005" s="556"/>
      <c r="AD20005" s="556"/>
      <c r="AE20005" s="556"/>
      <c r="AF20005" s="556"/>
      <c r="AG20005" s="556"/>
      <c r="AH20005" s="556"/>
      <c r="AI20005" s="556"/>
      <c r="AJ20005" s="556"/>
      <c r="AK20005" s="560"/>
      <c r="AL20005" s="556"/>
      <c r="AM20005" s="556"/>
      <c r="AN20005" s="556"/>
      <c r="AO20005" s="556"/>
      <c r="AP20005" s="556"/>
      <c r="AQ20005" s="556"/>
      <c r="AR20005" s="556"/>
      <c r="AS20005" s="556"/>
      <c r="AT20005" s="561"/>
      <c r="AU20005" s="562"/>
      <c r="AV20005" s="562"/>
      <c r="AW20005" s="563"/>
      <c r="AX20005" s="563"/>
    </row>
    <row r="20006" spans="1:50" s="564" customFormat="1" x14ac:dyDescent="0.25">
      <c r="A20006" s="559"/>
      <c r="B20006" s="556"/>
      <c r="C20006" s="556"/>
      <c r="D20006" s="556"/>
      <c r="E20006" s="556"/>
      <c r="F20006" s="558">
        <v>0</v>
      </c>
      <c r="G20006" s="556"/>
      <c r="H20006" s="556"/>
      <c r="I20006" s="556"/>
      <c r="J20006" s="556"/>
      <c r="K20006" s="556"/>
      <c r="L20006" s="556"/>
      <c r="M20006" s="556"/>
      <c r="N20006" s="556"/>
      <c r="O20006" s="556"/>
      <c r="P20006" s="556"/>
      <c r="Q20006" s="557"/>
      <c r="R20006" s="557"/>
      <c r="S20006" s="557"/>
      <c r="T20006" s="557"/>
      <c r="U20006" s="556"/>
      <c r="V20006" s="556"/>
      <c r="W20006" s="556"/>
      <c r="X20006" s="556"/>
      <c r="Y20006" s="556"/>
      <c r="Z20006" s="556"/>
      <c r="AA20006" s="556"/>
      <c r="AB20006" s="556"/>
      <c r="AC20006" s="556"/>
      <c r="AD20006" s="556"/>
      <c r="AE20006" s="556"/>
      <c r="AF20006" s="556"/>
      <c r="AG20006" s="556"/>
      <c r="AH20006" s="556"/>
      <c r="AI20006" s="556"/>
      <c r="AJ20006" s="556"/>
      <c r="AK20006" s="560"/>
      <c r="AL20006" s="556"/>
      <c r="AM20006" s="556"/>
      <c r="AN20006" s="556"/>
      <c r="AO20006" s="556"/>
      <c r="AP20006" s="556"/>
      <c r="AQ20006" s="556"/>
      <c r="AR20006" s="556"/>
      <c r="AS20006" s="556"/>
      <c r="AT20006" s="561"/>
      <c r="AU20006" s="562"/>
      <c r="AV20006" s="562"/>
      <c r="AW20006" s="563"/>
      <c r="AX20006" s="563"/>
    </row>
    <row r="20007" spans="1:50" s="564" customFormat="1" x14ac:dyDescent="0.25">
      <c r="A20007" s="559"/>
      <c r="B20007" s="556"/>
      <c r="C20007" s="556"/>
      <c r="D20007" s="556"/>
      <c r="E20007" s="556"/>
      <c r="F20007" s="556"/>
      <c r="G20007" s="556"/>
      <c r="H20007" s="556"/>
      <c r="I20007" s="556"/>
      <c r="J20007" s="556"/>
      <c r="K20007" s="556"/>
      <c r="L20007" s="556"/>
      <c r="M20007" s="556"/>
      <c r="N20007" s="556"/>
      <c r="O20007" s="556"/>
      <c r="P20007" s="556"/>
      <c r="Q20007" s="557"/>
      <c r="R20007" s="557"/>
      <c r="S20007" s="557"/>
      <c r="T20007" s="557"/>
      <c r="U20007" s="556"/>
      <c r="V20007" s="556"/>
      <c r="W20007" s="556"/>
      <c r="X20007" s="556"/>
      <c r="Y20007" s="556"/>
      <c r="Z20007" s="556"/>
      <c r="AA20007" s="556"/>
      <c r="AB20007" s="556"/>
      <c r="AC20007" s="556"/>
      <c r="AD20007" s="556"/>
      <c r="AE20007" s="556"/>
      <c r="AF20007" s="556"/>
      <c r="AG20007" s="556"/>
      <c r="AH20007" s="556"/>
      <c r="AI20007" s="556"/>
      <c r="AJ20007" s="556"/>
      <c r="AK20007" s="560"/>
      <c r="AL20007" s="556"/>
      <c r="AM20007" s="556"/>
      <c r="AN20007" s="556"/>
      <c r="AO20007" s="556"/>
      <c r="AP20007" s="556"/>
      <c r="AQ20007" s="556"/>
      <c r="AR20007" s="556"/>
      <c r="AS20007" s="556"/>
      <c r="AT20007" s="561"/>
      <c r="AU20007" s="562"/>
      <c r="AV20007" s="562"/>
      <c r="AW20007" s="563"/>
      <c r="AX20007" s="563"/>
    </row>
    <row r="20008" spans="1:50" s="564" customFormat="1" x14ac:dyDescent="0.25">
      <c r="A20008" s="559"/>
      <c r="B20008" s="556"/>
      <c r="C20008" s="556"/>
      <c r="D20008" s="556"/>
      <c r="E20008" s="556"/>
      <c r="F20008" s="556"/>
      <c r="G20008" s="556"/>
      <c r="H20008" s="556"/>
      <c r="I20008" s="556"/>
      <c r="J20008" s="556"/>
      <c r="K20008" s="556"/>
      <c r="L20008" s="556"/>
      <c r="M20008" s="556"/>
      <c r="N20008" s="556"/>
      <c r="O20008" s="556"/>
      <c r="P20008" s="556"/>
      <c r="Q20008" s="557"/>
      <c r="R20008" s="557"/>
      <c r="S20008" s="557"/>
      <c r="T20008" s="557"/>
      <c r="U20008" s="556"/>
      <c r="V20008" s="556"/>
      <c r="W20008" s="556"/>
      <c r="X20008" s="556"/>
      <c r="Y20008" s="556"/>
      <c r="Z20008" s="556"/>
      <c r="AA20008" s="556"/>
      <c r="AB20008" s="556"/>
      <c r="AC20008" s="556"/>
      <c r="AD20008" s="556"/>
      <c r="AE20008" s="556"/>
      <c r="AF20008" s="556"/>
      <c r="AG20008" s="556"/>
      <c r="AH20008" s="556"/>
      <c r="AI20008" s="556"/>
      <c r="AJ20008" s="556"/>
      <c r="AK20008" s="560"/>
      <c r="AL20008" s="556"/>
      <c r="AM20008" s="556"/>
      <c r="AN20008" s="556"/>
      <c r="AO20008" s="556"/>
      <c r="AP20008" s="556"/>
      <c r="AQ20008" s="556"/>
      <c r="AR20008" s="556"/>
      <c r="AS20008" s="556"/>
      <c r="AT20008" s="561"/>
      <c r="AU20008" s="562"/>
      <c r="AV20008" s="562"/>
      <c r="AW20008" s="563"/>
      <c r="AX20008" s="563"/>
    </row>
    <row r="20009" spans="1:50" s="564" customFormat="1" x14ac:dyDescent="0.25">
      <c r="A20009" s="559"/>
      <c r="B20009" s="556"/>
      <c r="C20009" s="556"/>
      <c r="D20009" s="556"/>
      <c r="E20009" s="556"/>
      <c r="F20009" s="556"/>
      <c r="G20009" s="556"/>
      <c r="H20009" s="556"/>
      <c r="I20009" s="556"/>
      <c r="J20009" s="556"/>
      <c r="K20009" s="556"/>
      <c r="L20009" s="556"/>
      <c r="M20009" s="556"/>
      <c r="N20009" s="556"/>
      <c r="O20009" s="556"/>
      <c r="P20009" s="556"/>
      <c r="Q20009" s="557"/>
      <c r="R20009" s="557"/>
      <c r="S20009" s="557"/>
      <c r="T20009" s="557"/>
      <c r="U20009" s="556"/>
      <c r="V20009" s="556"/>
      <c r="W20009" s="556"/>
      <c r="X20009" s="556"/>
      <c r="Y20009" s="556"/>
      <c r="Z20009" s="556"/>
      <c r="AA20009" s="556"/>
      <c r="AB20009" s="556"/>
      <c r="AC20009" s="556"/>
      <c r="AD20009" s="556"/>
      <c r="AE20009" s="556"/>
      <c r="AF20009" s="556"/>
      <c r="AG20009" s="556"/>
      <c r="AH20009" s="556"/>
      <c r="AI20009" s="556"/>
      <c r="AJ20009" s="556"/>
      <c r="AK20009" s="560"/>
      <c r="AL20009" s="556"/>
      <c r="AM20009" s="556"/>
      <c r="AN20009" s="556"/>
      <c r="AO20009" s="556"/>
      <c r="AP20009" s="556"/>
      <c r="AQ20009" s="556"/>
      <c r="AR20009" s="556"/>
      <c r="AS20009" s="556"/>
      <c r="AT20009" s="561"/>
      <c r="AU20009" s="562"/>
      <c r="AV20009" s="562"/>
      <c r="AW20009" s="563"/>
      <c r="AX20009" s="563"/>
    </row>
    <row r="20010" spans="1:50" s="564" customFormat="1" x14ac:dyDescent="0.25">
      <c r="A20010" s="559"/>
      <c r="B20010" s="556"/>
      <c r="C20010" s="556"/>
      <c r="D20010" s="556"/>
      <c r="E20010" s="556"/>
      <c r="F20010" s="556"/>
      <c r="G20010" s="556"/>
      <c r="H20010" s="556"/>
      <c r="I20010" s="556"/>
      <c r="J20010" s="556"/>
      <c r="K20010" s="556"/>
      <c r="L20010" s="556"/>
      <c r="M20010" s="556"/>
      <c r="N20010" s="556"/>
      <c r="O20010" s="556"/>
      <c r="P20010" s="556"/>
      <c r="Q20010" s="557"/>
      <c r="R20010" s="557"/>
      <c r="S20010" s="557"/>
      <c r="T20010" s="557"/>
      <c r="U20010" s="556"/>
      <c r="V20010" s="556"/>
      <c r="W20010" s="556"/>
      <c r="X20010" s="556"/>
      <c r="Y20010" s="556"/>
      <c r="Z20010" s="556"/>
      <c r="AA20010" s="556"/>
      <c r="AB20010" s="556"/>
      <c r="AC20010" s="556"/>
      <c r="AD20010" s="556"/>
      <c r="AE20010" s="556"/>
      <c r="AF20010" s="556"/>
      <c r="AG20010" s="556"/>
      <c r="AH20010" s="556"/>
      <c r="AI20010" s="556"/>
      <c r="AJ20010" s="556"/>
      <c r="AK20010" s="560"/>
      <c r="AL20010" s="556"/>
      <c r="AM20010" s="556"/>
      <c r="AN20010" s="556"/>
      <c r="AO20010" s="556"/>
      <c r="AP20010" s="556"/>
      <c r="AQ20010" s="556"/>
      <c r="AR20010" s="556"/>
      <c r="AS20010" s="556"/>
      <c r="AT20010" s="561"/>
      <c r="AU20010" s="562"/>
      <c r="AV20010" s="562"/>
      <c r="AW20010" s="563"/>
      <c r="AX20010" s="563"/>
    </row>
    <row r="20011" spans="1:50" s="564" customFormat="1" x14ac:dyDescent="0.25">
      <c r="A20011" s="559"/>
      <c r="B20011" s="556"/>
      <c r="C20011" s="556"/>
      <c r="D20011" s="556"/>
      <c r="E20011" s="556"/>
      <c r="F20011" s="556"/>
      <c r="G20011" s="556"/>
      <c r="H20011" s="556"/>
      <c r="I20011" s="556"/>
      <c r="J20011" s="556"/>
      <c r="K20011" s="556"/>
      <c r="L20011" s="556"/>
      <c r="M20011" s="556"/>
      <c r="N20011" s="556"/>
      <c r="O20011" s="556"/>
      <c r="P20011" s="556"/>
      <c r="Q20011" s="557"/>
      <c r="R20011" s="557"/>
      <c r="S20011" s="557"/>
      <c r="T20011" s="557"/>
      <c r="U20011" s="556"/>
      <c r="V20011" s="556"/>
      <c r="W20011" s="556"/>
      <c r="X20011" s="556"/>
      <c r="Y20011" s="556"/>
      <c r="Z20011" s="556"/>
      <c r="AA20011" s="556"/>
      <c r="AB20011" s="556"/>
      <c r="AC20011" s="556"/>
      <c r="AD20011" s="556"/>
      <c r="AE20011" s="556"/>
      <c r="AF20011" s="556"/>
      <c r="AG20011" s="556"/>
      <c r="AH20011" s="556"/>
      <c r="AI20011" s="556"/>
      <c r="AJ20011" s="556"/>
      <c r="AK20011" s="560"/>
      <c r="AL20011" s="556"/>
      <c r="AM20011" s="556"/>
      <c r="AN20011" s="556"/>
      <c r="AO20011" s="556"/>
      <c r="AP20011" s="556"/>
      <c r="AQ20011" s="556"/>
      <c r="AR20011" s="556"/>
      <c r="AS20011" s="556"/>
      <c r="AT20011" s="561"/>
      <c r="AU20011" s="562"/>
      <c r="AV20011" s="562"/>
      <c r="AW20011" s="563"/>
      <c r="AX20011" s="563"/>
    </row>
    <row r="20012" spans="1:50" s="564" customFormat="1" x14ac:dyDescent="0.25">
      <c r="A20012" s="559"/>
      <c r="B20012" s="556"/>
      <c r="C20012" s="556"/>
      <c r="D20012" s="556"/>
      <c r="E20012" s="556"/>
      <c r="F20012" s="556"/>
      <c r="G20012" s="556"/>
      <c r="H20012" s="556"/>
      <c r="I20012" s="556"/>
      <c r="J20012" s="556"/>
      <c r="K20012" s="556"/>
      <c r="L20012" s="556"/>
      <c r="M20012" s="556"/>
      <c r="N20012" s="556"/>
      <c r="O20012" s="556"/>
      <c r="P20012" s="556"/>
      <c r="Q20012" s="557"/>
      <c r="R20012" s="557"/>
      <c r="S20012" s="557"/>
      <c r="T20012" s="557"/>
      <c r="U20012" s="556"/>
      <c r="V20012" s="556"/>
      <c r="W20012" s="556"/>
      <c r="X20012" s="556"/>
      <c r="Y20012" s="556"/>
      <c r="Z20012" s="556"/>
      <c r="AA20012" s="556"/>
      <c r="AB20012" s="556"/>
      <c r="AC20012" s="556"/>
      <c r="AD20012" s="556"/>
      <c r="AE20012" s="556"/>
      <c r="AF20012" s="556"/>
      <c r="AG20012" s="556"/>
      <c r="AH20012" s="556"/>
      <c r="AI20012" s="556"/>
      <c r="AJ20012" s="556"/>
      <c r="AK20012" s="560"/>
      <c r="AL20012" s="556"/>
      <c r="AM20012" s="556"/>
      <c r="AN20012" s="556"/>
      <c r="AO20012" s="556"/>
      <c r="AP20012" s="556"/>
      <c r="AQ20012" s="556"/>
      <c r="AR20012" s="556"/>
      <c r="AS20012" s="556"/>
      <c r="AT20012" s="561"/>
      <c r="AU20012" s="562"/>
      <c r="AV20012" s="562"/>
      <c r="AW20012" s="563"/>
      <c r="AX20012" s="563"/>
    </row>
    <row r="20013" spans="1:50" s="564" customFormat="1" x14ac:dyDescent="0.25">
      <c r="A20013" s="559"/>
      <c r="B20013" s="556"/>
      <c r="C20013" s="556"/>
      <c r="D20013" s="556"/>
      <c r="E20013" s="556"/>
      <c r="F20013" s="556"/>
      <c r="G20013" s="556"/>
      <c r="H20013" s="556"/>
      <c r="I20013" s="556"/>
      <c r="J20013" s="556"/>
      <c r="K20013" s="556"/>
      <c r="L20013" s="556"/>
      <c r="M20013" s="556"/>
      <c r="N20013" s="556"/>
      <c r="O20013" s="556"/>
      <c r="P20013" s="556"/>
      <c r="Q20013" s="557"/>
      <c r="R20013" s="557"/>
      <c r="S20013" s="557"/>
      <c r="T20013" s="557"/>
      <c r="U20013" s="556"/>
      <c r="V20013" s="556"/>
      <c r="W20013" s="556"/>
      <c r="X20013" s="556"/>
      <c r="Y20013" s="556"/>
      <c r="Z20013" s="556"/>
      <c r="AA20013" s="556"/>
      <c r="AB20013" s="556"/>
      <c r="AC20013" s="556"/>
      <c r="AD20013" s="556"/>
      <c r="AE20013" s="556"/>
      <c r="AF20013" s="556"/>
      <c r="AG20013" s="556"/>
      <c r="AH20013" s="556"/>
      <c r="AI20013" s="556"/>
      <c r="AJ20013" s="556"/>
      <c r="AK20013" s="560"/>
      <c r="AL20013" s="556"/>
      <c r="AM20013" s="556"/>
      <c r="AN20013" s="556"/>
      <c r="AO20013" s="556"/>
      <c r="AP20013" s="556"/>
      <c r="AQ20013" s="556"/>
      <c r="AR20013" s="556"/>
      <c r="AS20013" s="556"/>
      <c r="AT20013" s="561"/>
      <c r="AU20013" s="562"/>
      <c r="AV20013" s="562"/>
      <c r="AW20013" s="563"/>
      <c r="AX20013" s="563"/>
    </row>
    <row r="20014" spans="1:50" s="564" customFormat="1" x14ac:dyDescent="0.25">
      <c r="A20014" s="559"/>
      <c r="B20014" s="556"/>
      <c r="C20014" s="556"/>
      <c r="D20014" s="556"/>
      <c r="E20014" s="556"/>
      <c r="F20014" s="556"/>
      <c r="G20014" s="556"/>
      <c r="H20014" s="556"/>
      <c r="I20014" s="556"/>
      <c r="J20014" s="556"/>
      <c r="K20014" s="556"/>
      <c r="L20014" s="556"/>
      <c r="M20014" s="556"/>
      <c r="N20014" s="556"/>
      <c r="O20014" s="556"/>
      <c r="P20014" s="556"/>
      <c r="Q20014" s="557"/>
      <c r="R20014" s="557"/>
      <c r="S20014" s="557"/>
      <c r="T20014" s="557"/>
      <c r="U20014" s="556"/>
      <c r="V20014" s="556"/>
      <c r="W20014" s="556"/>
      <c r="X20014" s="556"/>
      <c r="Y20014" s="556"/>
      <c r="Z20014" s="556"/>
      <c r="AA20014" s="556"/>
      <c r="AB20014" s="556"/>
      <c r="AC20014" s="556"/>
      <c r="AD20014" s="556"/>
      <c r="AE20014" s="556"/>
      <c r="AF20014" s="556"/>
      <c r="AG20014" s="556"/>
      <c r="AH20014" s="556"/>
      <c r="AI20014" s="556"/>
      <c r="AJ20014" s="556"/>
      <c r="AK20014" s="560"/>
      <c r="AL20014" s="556"/>
      <c r="AM20014" s="556"/>
      <c r="AN20014" s="556"/>
      <c r="AO20014" s="556"/>
      <c r="AP20014" s="556"/>
      <c r="AQ20014" s="556"/>
      <c r="AR20014" s="556"/>
      <c r="AS20014" s="556"/>
      <c r="AT20014" s="561"/>
      <c r="AU20014" s="562"/>
      <c r="AV20014" s="562"/>
      <c r="AW20014" s="563"/>
      <c r="AX20014" s="563"/>
    </row>
    <row r="20015" spans="1:50" s="564" customFormat="1" x14ac:dyDescent="0.25">
      <c r="A20015" s="559"/>
      <c r="B20015" s="556"/>
      <c r="C20015" s="556"/>
      <c r="D20015" s="556"/>
      <c r="E20015" s="556"/>
      <c r="F20015" s="556"/>
      <c r="G20015" s="556"/>
      <c r="H20015" s="556"/>
      <c r="I20015" s="556"/>
      <c r="J20015" s="556"/>
      <c r="K20015" s="556"/>
      <c r="L20015" s="556"/>
      <c r="M20015" s="556"/>
      <c r="N20015" s="556"/>
      <c r="O20015" s="556"/>
      <c r="P20015" s="556"/>
      <c r="Q20015" s="557"/>
      <c r="R20015" s="557"/>
      <c r="S20015" s="557"/>
      <c r="T20015" s="557"/>
      <c r="U20015" s="556"/>
      <c r="V20015" s="556"/>
      <c r="W20015" s="556"/>
      <c r="X20015" s="556"/>
      <c r="Y20015" s="556"/>
      <c r="Z20015" s="556"/>
      <c r="AA20015" s="556"/>
      <c r="AB20015" s="556"/>
      <c r="AC20015" s="556"/>
      <c r="AD20015" s="556"/>
      <c r="AE20015" s="556"/>
      <c r="AF20015" s="556"/>
      <c r="AG20015" s="556"/>
      <c r="AH20015" s="556"/>
      <c r="AI20015" s="556"/>
      <c r="AJ20015" s="556"/>
      <c r="AK20015" s="560"/>
      <c r="AL20015" s="556"/>
      <c r="AM20015" s="556"/>
      <c r="AN20015" s="556"/>
      <c r="AO20015" s="556"/>
      <c r="AP20015" s="556"/>
      <c r="AQ20015" s="556"/>
      <c r="AR20015" s="556"/>
      <c r="AS20015" s="556"/>
      <c r="AT20015" s="561"/>
      <c r="AU20015" s="562"/>
      <c r="AV20015" s="562"/>
      <c r="AW20015" s="563"/>
      <c r="AX20015" s="563"/>
    </row>
    <row r="20016" spans="1:50" s="564" customFormat="1" x14ac:dyDescent="0.25">
      <c r="A20016" s="559"/>
      <c r="B20016" s="556"/>
      <c r="C20016" s="556"/>
      <c r="D20016" s="556"/>
      <c r="E20016" s="556"/>
      <c r="F20016" s="556"/>
      <c r="G20016" s="556"/>
      <c r="H20016" s="556"/>
      <c r="I20016" s="556"/>
      <c r="J20016" s="556"/>
      <c r="K20016" s="556"/>
      <c r="L20016" s="556"/>
      <c r="M20016" s="556"/>
      <c r="N20016" s="556"/>
      <c r="O20016" s="556"/>
      <c r="P20016" s="556"/>
      <c r="Q20016" s="557"/>
      <c r="R20016" s="557"/>
      <c r="S20016" s="557"/>
      <c r="T20016" s="557"/>
      <c r="U20016" s="556"/>
      <c r="V20016" s="556"/>
      <c r="W20016" s="556"/>
      <c r="X20016" s="556"/>
      <c r="Y20016" s="556"/>
      <c r="Z20016" s="556"/>
      <c r="AA20016" s="556"/>
      <c r="AB20016" s="556"/>
      <c r="AC20016" s="556"/>
      <c r="AD20016" s="556"/>
      <c r="AE20016" s="556"/>
      <c r="AF20016" s="556"/>
      <c r="AG20016" s="556"/>
      <c r="AH20016" s="556"/>
      <c r="AI20016" s="556"/>
      <c r="AJ20016" s="556"/>
      <c r="AK20016" s="560"/>
      <c r="AL20016" s="556"/>
      <c r="AM20016" s="556"/>
      <c r="AN20016" s="556"/>
      <c r="AO20016" s="556"/>
      <c r="AP20016" s="556"/>
      <c r="AQ20016" s="556"/>
      <c r="AR20016" s="556"/>
      <c r="AS20016" s="556"/>
      <c r="AT20016" s="561"/>
      <c r="AU20016" s="562"/>
      <c r="AV20016" s="562"/>
      <c r="AW20016" s="563"/>
      <c r="AX20016" s="563"/>
    </row>
    <row r="20017" spans="1:50" s="564" customFormat="1" x14ac:dyDescent="0.25">
      <c r="A20017" s="559"/>
      <c r="B20017" s="556"/>
      <c r="C20017" s="556"/>
      <c r="D20017" s="556"/>
      <c r="E20017" s="556"/>
      <c r="F20017" s="556"/>
      <c r="G20017" s="556"/>
      <c r="H20017" s="556"/>
      <c r="I20017" s="556"/>
      <c r="J20017" s="556"/>
      <c r="K20017" s="556"/>
      <c r="L20017" s="556"/>
      <c r="M20017" s="556"/>
      <c r="N20017" s="556"/>
      <c r="O20017" s="556"/>
      <c r="P20017" s="556"/>
      <c r="Q20017" s="557"/>
      <c r="R20017" s="557"/>
      <c r="S20017" s="557"/>
      <c r="T20017" s="557"/>
      <c r="U20017" s="556"/>
      <c r="V20017" s="556"/>
      <c r="W20017" s="556"/>
      <c r="X20017" s="556"/>
      <c r="Y20017" s="556"/>
      <c r="Z20017" s="556"/>
      <c r="AA20017" s="556"/>
      <c r="AB20017" s="556"/>
      <c r="AC20017" s="556"/>
      <c r="AD20017" s="556"/>
      <c r="AE20017" s="556"/>
      <c r="AF20017" s="556"/>
      <c r="AG20017" s="556"/>
      <c r="AH20017" s="556"/>
      <c r="AI20017" s="556"/>
      <c r="AJ20017" s="556"/>
      <c r="AK20017" s="560"/>
      <c r="AL20017" s="556"/>
      <c r="AM20017" s="556"/>
      <c r="AN20017" s="556"/>
      <c r="AO20017" s="556"/>
      <c r="AP20017" s="556"/>
      <c r="AQ20017" s="556"/>
      <c r="AR20017" s="556"/>
      <c r="AS20017" s="556"/>
      <c r="AT20017" s="561"/>
      <c r="AU20017" s="562"/>
      <c r="AV20017" s="562"/>
      <c r="AW20017" s="563"/>
      <c r="AX20017" s="563"/>
    </row>
    <row r="20018" spans="1:50" s="564" customFormat="1" x14ac:dyDescent="0.25">
      <c r="A20018" s="559"/>
      <c r="B20018" s="556"/>
      <c r="C20018" s="556"/>
      <c r="D20018" s="556"/>
      <c r="E20018" s="556"/>
      <c r="F20018" s="556"/>
      <c r="G20018" s="556"/>
      <c r="H20018" s="556"/>
      <c r="I20018" s="556"/>
      <c r="J20018" s="556"/>
      <c r="K20018" s="556"/>
      <c r="L20018" s="556"/>
      <c r="M20018" s="556"/>
      <c r="N20018" s="556"/>
      <c r="O20018" s="556"/>
      <c r="P20018" s="556"/>
      <c r="Q20018" s="557"/>
      <c r="R20018" s="557"/>
      <c r="S20018" s="557"/>
      <c r="T20018" s="557"/>
      <c r="U20018" s="556"/>
      <c r="V20018" s="556"/>
      <c r="W20018" s="556"/>
      <c r="X20018" s="556"/>
      <c r="Y20018" s="556"/>
      <c r="Z20018" s="556"/>
      <c r="AA20018" s="556"/>
      <c r="AB20018" s="556"/>
      <c r="AC20018" s="556"/>
      <c r="AD20018" s="556"/>
      <c r="AE20018" s="556"/>
      <c r="AF20018" s="556"/>
      <c r="AG20018" s="556"/>
      <c r="AH20018" s="556"/>
      <c r="AI20018" s="556"/>
      <c r="AJ20018" s="556"/>
      <c r="AK20018" s="560"/>
      <c r="AL20018" s="556"/>
      <c r="AM20018" s="556"/>
      <c r="AN20018" s="556"/>
      <c r="AO20018" s="556"/>
      <c r="AP20018" s="556"/>
      <c r="AQ20018" s="556"/>
      <c r="AR20018" s="556"/>
      <c r="AS20018" s="556"/>
      <c r="AT20018" s="561"/>
      <c r="AU20018" s="562"/>
      <c r="AV20018" s="562"/>
      <c r="AW20018" s="563"/>
      <c r="AX20018" s="563"/>
    </row>
    <row r="20019" spans="1:50" s="564" customFormat="1" x14ac:dyDescent="0.25">
      <c r="A20019" s="559"/>
      <c r="B20019" s="556"/>
      <c r="C20019" s="556"/>
      <c r="D20019" s="556"/>
      <c r="E20019" s="556"/>
      <c r="F20019" s="556"/>
      <c r="G20019" s="556"/>
      <c r="H20019" s="556"/>
      <c r="I20019" s="556"/>
      <c r="J20019" s="556"/>
      <c r="K20019" s="556"/>
      <c r="L20019" s="556"/>
      <c r="M20019" s="556"/>
      <c r="N20019" s="556"/>
      <c r="O20019" s="556"/>
      <c r="P20019" s="556"/>
      <c r="Q20019" s="557"/>
      <c r="R20019" s="557"/>
      <c r="S20019" s="557"/>
      <c r="T20019" s="557"/>
      <c r="U20019" s="556"/>
      <c r="V20019" s="556"/>
      <c r="W20019" s="556"/>
      <c r="X20019" s="556"/>
      <c r="Y20019" s="556"/>
      <c r="Z20019" s="556"/>
      <c r="AA20019" s="556"/>
      <c r="AB20019" s="556"/>
      <c r="AC20019" s="556"/>
      <c r="AD20019" s="556"/>
      <c r="AE20019" s="556"/>
      <c r="AF20019" s="556"/>
      <c r="AG20019" s="556"/>
      <c r="AH20019" s="556"/>
      <c r="AI20019" s="556"/>
      <c r="AJ20019" s="556"/>
      <c r="AK20019" s="560"/>
      <c r="AL20019" s="556"/>
      <c r="AM20019" s="556"/>
      <c r="AN20019" s="556"/>
      <c r="AO20019" s="556"/>
      <c r="AP20019" s="556"/>
      <c r="AQ20019" s="556"/>
      <c r="AR20019" s="556"/>
      <c r="AS20019" s="556"/>
      <c r="AT20019" s="561"/>
      <c r="AU20019" s="562"/>
      <c r="AV20019" s="562"/>
      <c r="AW20019" s="563"/>
      <c r="AX20019" s="563"/>
    </row>
    <row r="20020" spans="1:50" s="564" customFormat="1" x14ac:dyDescent="0.25">
      <c r="A20020" s="559"/>
      <c r="B20020" s="556"/>
      <c r="C20020" s="556"/>
      <c r="D20020" s="556"/>
      <c r="E20020" s="556"/>
      <c r="F20020" s="556"/>
      <c r="G20020" s="556"/>
      <c r="H20020" s="556"/>
      <c r="I20020" s="556"/>
      <c r="J20020" s="556"/>
      <c r="K20020" s="556"/>
      <c r="L20020" s="556"/>
      <c r="M20020" s="556"/>
      <c r="N20020" s="556"/>
      <c r="O20020" s="556"/>
      <c r="P20020" s="556"/>
      <c r="Q20020" s="557"/>
      <c r="R20020" s="557"/>
      <c r="S20020" s="557"/>
      <c r="T20020" s="557"/>
      <c r="U20020" s="556"/>
      <c r="V20020" s="556"/>
      <c r="W20020" s="556"/>
      <c r="X20020" s="556"/>
      <c r="Y20020" s="556"/>
      <c r="Z20020" s="556"/>
      <c r="AA20020" s="556"/>
      <c r="AB20020" s="556"/>
      <c r="AC20020" s="556"/>
      <c r="AD20020" s="556"/>
      <c r="AE20020" s="556"/>
      <c r="AF20020" s="556"/>
      <c r="AG20020" s="556"/>
      <c r="AH20020" s="556"/>
      <c r="AI20020" s="556"/>
      <c r="AJ20020" s="556"/>
      <c r="AK20020" s="560"/>
      <c r="AL20020" s="556"/>
      <c r="AM20020" s="556"/>
      <c r="AN20020" s="556"/>
      <c r="AO20020" s="556"/>
      <c r="AP20020" s="556"/>
      <c r="AQ20020" s="556"/>
      <c r="AR20020" s="556"/>
      <c r="AS20020" s="556"/>
      <c r="AT20020" s="561"/>
      <c r="AU20020" s="562"/>
      <c r="AV20020" s="562"/>
      <c r="AW20020" s="563"/>
      <c r="AX20020" s="563"/>
    </row>
    <row r="20021" spans="1:50" s="564" customFormat="1" x14ac:dyDescent="0.25">
      <c r="A20021" s="559"/>
      <c r="B20021" s="556"/>
      <c r="C20021" s="556"/>
      <c r="D20021" s="556"/>
      <c r="E20021" s="556"/>
      <c r="F20021" s="556"/>
      <c r="G20021" s="556"/>
      <c r="H20021" s="556"/>
      <c r="I20021" s="556"/>
      <c r="J20021" s="556"/>
      <c r="K20021" s="556"/>
      <c r="L20021" s="556"/>
      <c r="M20021" s="556"/>
      <c r="N20021" s="556"/>
      <c r="O20021" s="556"/>
      <c r="P20021" s="556"/>
      <c r="Q20021" s="557"/>
      <c r="R20021" s="557"/>
      <c r="S20021" s="557"/>
      <c r="T20021" s="557"/>
      <c r="U20021" s="556"/>
      <c r="V20021" s="556"/>
      <c r="W20021" s="556"/>
      <c r="X20021" s="556"/>
      <c r="Y20021" s="556"/>
      <c r="Z20021" s="556"/>
      <c r="AA20021" s="556"/>
      <c r="AB20021" s="556"/>
      <c r="AC20021" s="556"/>
      <c r="AD20021" s="556"/>
      <c r="AE20021" s="556"/>
      <c r="AF20021" s="556"/>
      <c r="AG20021" s="556"/>
      <c r="AH20021" s="556"/>
      <c r="AI20021" s="556"/>
      <c r="AJ20021" s="556"/>
      <c r="AK20021" s="560"/>
      <c r="AL20021" s="556"/>
      <c r="AM20021" s="556"/>
      <c r="AN20021" s="556"/>
      <c r="AO20021" s="556"/>
      <c r="AP20021" s="556"/>
      <c r="AQ20021" s="556"/>
      <c r="AR20021" s="556"/>
      <c r="AS20021" s="556"/>
      <c r="AT20021" s="561"/>
      <c r="AU20021" s="562"/>
      <c r="AV20021" s="562"/>
      <c r="AW20021" s="563"/>
      <c r="AX20021" s="563"/>
    </row>
    <row r="20022" spans="1:50" s="564" customFormat="1" x14ac:dyDescent="0.25">
      <c r="A20022" s="559"/>
      <c r="B20022" s="556"/>
      <c r="C20022" s="556"/>
      <c r="D20022" s="556"/>
      <c r="E20022" s="556"/>
      <c r="F20022" s="556"/>
      <c r="G20022" s="556"/>
      <c r="H20022" s="556"/>
      <c r="I20022" s="556"/>
      <c r="J20022" s="556"/>
      <c r="K20022" s="556"/>
      <c r="L20022" s="556"/>
      <c r="M20022" s="556"/>
      <c r="N20022" s="556"/>
      <c r="O20022" s="556"/>
      <c r="P20022" s="556"/>
      <c r="Q20022" s="557"/>
      <c r="R20022" s="557"/>
      <c r="S20022" s="557"/>
      <c r="T20022" s="557"/>
      <c r="U20022" s="556"/>
      <c r="V20022" s="556"/>
      <c r="W20022" s="556"/>
      <c r="X20022" s="556"/>
      <c r="Y20022" s="556"/>
      <c r="Z20022" s="556"/>
      <c r="AA20022" s="556"/>
      <c r="AB20022" s="556"/>
      <c r="AC20022" s="556"/>
      <c r="AD20022" s="556"/>
      <c r="AE20022" s="556"/>
      <c r="AF20022" s="556"/>
      <c r="AG20022" s="556"/>
      <c r="AH20022" s="556"/>
      <c r="AI20022" s="556"/>
      <c r="AJ20022" s="556"/>
      <c r="AK20022" s="560"/>
      <c r="AL20022" s="556"/>
      <c r="AM20022" s="556"/>
      <c r="AN20022" s="556"/>
      <c r="AO20022" s="556"/>
      <c r="AP20022" s="556"/>
      <c r="AQ20022" s="556"/>
      <c r="AR20022" s="556"/>
      <c r="AS20022" s="556"/>
      <c r="AT20022" s="561"/>
      <c r="AU20022" s="562"/>
      <c r="AV20022" s="562"/>
      <c r="AW20022" s="563"/>
      <c r="AX20022" s="563"/>
    </row>
    <row r="20023" spans="1:50" s="564" customFormat="1" x14ac:dyDescent="0.25">
      <c r="A20023" s="559"/>
      <c r="B20023" s="556"/>
      <c r="C20023" s="556"/>
      <c r="D20023" s="556"/>
      <c r="E20023" s="556"/>
      <c r="F20023" s="556"/>
      <c r="G20023" s="556"/>
      <c r="H20023" s="556"/>
      <c r="I20023" s="556"/>
      <c r="J20023" s="556"/>
      <c r="K20023" s="556"/>
      <c r="L20023" s="556"/>
      <c r="M20023" s="556"/>
      <c r="N20023" s="556"/>
      <c r="O20023" s="556"/>
      <c r="P20023" s="556"/>
      <c r="Q20023" s="557"/>
      <c r="R20023" s="557"/>
      <c r="S20023" s="557"/>
      <c r="T20023" s="557"/>
      <c r="U20023" s="556"/>
      <c r="V20023" s="556"/>
      <c r="W20023" s="556"/>
      <c r="X20023" s="556"/>
      <c r="Y20023" s="556"/>
      <c r="Z20023" s="556"/>
      <c r="AA20023" s="556"/>
      <c r="AB20023" s="556"/>
      <c r="AC20023" s="556"/>
      <c r="AD20023" s="556"/>
      <c r="AE20023" s="556"/>
      <c r="AF20023" s="556"/>
      <c r="AG20023" s="556"/>
      <c r="AH20023" s="556"/>
      <c r="AI20023" s="556"/>
      <c r="AJ20023" s="556"/>
      <c r="AK20023" s="560"/>
      <c r="AL20023" s="556"/>
      <c r="AM20023" s="556"/>
      <c r="AN20023" s="556"/>
      <c r="AO20023" s="556"/>
      <c r="AP20023" s="556"/>
      <c r="AQ20023" s="556"/>
      <c r="AR20023" s="556"/>
      <c r="AS20023" s="556"/>
      <c r="AT20023" s="561"/>
      <c r="AU20023" s="562"/>
      <c r="AV20023" s="562"/>
      <c r="AW20023" s="563"/>
      <c r="AX20023" s="563"/>
    </row>
    <row r="20024" spans="1:50" s="564" customFormat="1" x14ac:dyDescent="0.25">
      <c r="A20024" s="559"/>
      <c r="B20024" s="556"/>
      <c r="C20024" s="556"/>
      <c r="D20024" s="556"/>
      <c r="E20024" s="556"/>
      <c r="F20024" s="556"/>
      <c r="G20024" s="556"/>
      <c r="H20024" s="556"/>
      <c r="I20024" s="556"/>
      <c r="J20024" s="556"/>
      <c r="K20024" s="556"/>
      <c r="L20024" s="556"/>
      <c r="M20024" s="556"/>
      <c r="N20024" s="556"/>
      <c r="O20024" s="556"/>
      <c r="P20024" s="556"/>
      <c r="Q20024" s="557"/>
      <c r="R20024" s="557"/>
      <c r="S20024" s="557"/>
      <c r="T20024" s="557"/>
      <c r="U20024" s="556"/>
      <c r="V20024" s="556"/>
      <c r="W20024" s="556"/>
      <c r="X20024" s="556"/>
      <c r="Y20024" s="556"/>
      <c r="Z20024" s="556"/>
      <c r="AA20024" s="556"/>
      <c r="AB20024" s="556"/>
      <c r="AC20024" s="556"/>
      <c r="AD20024" s="556"/>
      <c r="AE20024" s="556"/>
      <c r="AF20024" s="556"/>
      <c r="AG20024" s="556"/>
      <c r="AH20024" s="556"/>
      <c r="AI20024" s="556"/>
      <c r="AJ20024" s="556"/>
      <c r="AK20024" s="560"/>
      <c r="AL20024" s="556"/>
      <c r="AM20024" s="556"/>
      <c r="AN20024" s="556"/>
      <c r="AO20024" s="556"/>
      <c r="AP20024" s="556"/>
      <c r="AQ20024" s="556"/>
      <c r="AR20024" s="556"/>
      <c r="AS20024" s="556"/>
      <c r="AT20024" s="561"/>
      <c r="AU20024" s="562"/>
      <c r="AV20024" s="562"/>
      <c r="AW20024" s="563"/>
      <c r="AX20024" s="563"/>
    </row>
    <row r="20025" spans="1:50" s="564" customFormat="1" x14ac:dyDescent="0.25">
      <c r="A20025" s="559"/>
      <c r="B20025" s="556"/>
      <c r="C20025" s="556"/>
      <c r="D20025" s="556"/>
      <c r="E20025" s="556"/>
      <c r="F20025" s="556"/>
      <c r="G20025" s="556"/>
      <c r="H20025" s="556"/>
      <c r="I20025" s="556"/>
      <c r="J20025" s="556"/>
      <c r="K20025" s="556"/>
      <c r="L20025" s="556"/>
      <c r="M20025" s="556"/>
      <c r="N20025" s="556"/>
      <c r="O20025" s="556"/>
      <c r="P20025" s="556"/>
      <c r="Q20025" s="557"/>
      <c r="R20025" s="557"/>
      <c r="S20025" s="557"/>
      <c r="T20025" s="557"/>
      <c r="U20025" s="556"/>
      <c r="V20025" s="556"/>
      <c r="W20025" s="556"/>
      <c r="X20025" s="556"/>
      <c r="Y20025" s="556"/>
      <c r="Z20025" s="556"/>
      <c r="AA20025" s="556"/>
      <c r="AB20025" s="556"/>
      <c r="AC20025" s="556"/>
      <c r="AD20025" s="556"/>
      <c r="AE20025" s="556"/>
      <c r="AF20025" s="556"/>
      <c r="AG20025" s="556"/>
      <c r="AH20025" s="556"/>
      <c r="AI20025" s="556"/>
      <c r="AJ20025" s="556"/>
      <c r="AK20025" s="560"/>
      <c r="AL20025" s="556"/>
      <c r="AM20025" s="556"/>
      <c r="AN20025" s="556"/>
      <c r="AO20025" s="556"/>
      <c r="AP20025" s="556"/>
      <c r="AQ20025" s="556"/>
      <c r="AR20025" s="556"/>
      <c r="AS20025" s="556"/>
      <c r="AT20025" s="561"/>
      <c r="AU20025" s="562"/>
      <c r="AV20025" s="562"/>
      <c r="AW20025" s="563"/>
      <c r="AX20025" s="563"/>
    </row>
    <row r="20026" spans="1:50" s="564" customFormat="1" x14ac:dyDescent="0.25">
      <c r="A20026" s="559"/>
      <c r="B20026" s="556"/>
      <c r="C20026" s="556"/>
      <c r="D20026" s="556"/>
      <c r="E20026" s="556"/>
      <c r="F20026" s="556"/>
      <c r="G20026" s="556"/>
      <c r="H20026" s="556"/>
      <c r="I20026" s="556"/>
      <c r="J20026" s="556"/>
      <c r="K20026" s="556"/>
      <c r="L20026" s="556"/>
      <c r="M20026" s="556"/>
      <c r="N20026" s="556"/>
      <c r="O20026" s="556"/>
      <c r="P20026" s="556"/>
      <c r="Q20026" s="557"/>
      <c r="R20026" s="557"/>
      <c r="S20026" s="557"/>
      <c r="T20026" s="557"/>
      <c r="U20026" s="556"/>
      <c r="V20026" s="556"/>
      <c r="W20026" s="556"/>
      <c r="X20026" s="556"/>
      <c r="Y20026" s="556"/>
      <c r="Z20026" s="556"/>
      <c r="AA20026" s="556"/>
      <c r="AB20026" s="556"/>
      <c r="AC20026" s="556"/>
      <c r="AD20026" s="556"/>
      <c r="AE20026" s="556"/>
      <c r="AF20026" s="556"/>
      <c r="AG20026" s="556"/>
      <c r="AH20026" s="556"/>
      <c r="AI20026" s="556"/>
      <c r="AJ20026" s="556"/>
      <c r="AK20026" s="560"/>
      <c r="AL20026" s="556"/>
      <c r="AM20026" s="556"/>
      <c r="AN20026" s="556"/>
      <c r="AO20026" s="556"/>
      <c r="AP20026" s="556"/>
      <c r="AQ20026" s="556"/>
      <c r="AR20026" s="556"/>
      <c r="AS20026" s="556"/>
      <c r="AT20026" s="561"/>
      <c r="AU20026" s="562"/>
      <c r="AV20026" s="562"/>
      <c r="AW20026" s="563"/>
      <c r="AX20026" s="563"/>
    </row>
    <row r="20027" spans="1:50" s="564" customFormat="1" x14ac:dyDescent="0.25">
      <c r="A20027" s="559"/>
      <c r="B20027" s="556"/>
      <c r="C20027" s="556"/>
      <c r="D20027" s="556"/>
      <c r="E20027" s="556"/>
      <c r="F20027" s="556"/>
      <c r="G20027" s="556"/>
      <c r="H20027" s="556"/>
      <c r="I20027" s="556"/>
      <c r="J20027" s="556"/>
      <c r="K20027" s="556"/>
      <c r="L20027" s="556"/>
      <c r="M20027" s="556"/>
      <c r="N20027" s="556"/>
      <c r="O20027" s="556"/>
      <c r="P20027" s="556"/>
      <c r="Q20027" s="557"/>
      <c r="R20027" s="557"/>
      <c r="S20027" s="557"/>
      <c r="T20027" s="557"/>
      <c r="U20027" s="556"/>
      <c r="V20027" s="556"/>
      <c r="W20027" s="556"/>
      <c r="X20027" s="556"/>
      <c r="Y20027" s="556"/>
      <c r="Z20027" s="556"/>
      <c r="AA20027" s="556"/>
      <c r="AB20027" s="556"/>
      <c r="AC20027" s="556"/>
      <c r="AD20027" s="556"/>
      <c r="AE20027" s="556"/>
      <c r="AF20027" s="556"/>
      <c r="AG20027" s="556"/>
      <c r="AH20027" s="556"/>
      <c r="AI20027" s="556"/>
      <c r="AJ20027" s="556"/>
      <c r="AK20027" s="560"/>
      <c r="AL20027" s="556"/>
      <c r="AM20027" s="556"/>
      <c r="AN20027" s="556"/>
      <c r="AO20027" s="556"/>
      <c r="AP20027" s="556"/>
      <c r="AQ20027" s="556"/>
      <c r="AR20027" s="556"/>
      <c r="AS20027" s="556"/>
      <c r="AT20027" s="561"/>
      <c r="AU20027" s="562"/>
      <c r="AV20027" s="562"/>
      <c r="AW20027" s="563"/>
      <c r="AX20027" s="563"/>
    </row>
    <row r="20028" spans="1:50" s="564" customFormat="1" x14ac:dyDescent="0.25">
      <c r="A20028" s="559"/>
      <c r="B20028" s="556"/>
      <c r="C20028" s="556"/>
      <c r="D20028" s="556"/>
      <c r="E20028" s="556"/>
      <c r="F20028" s="556"/>
      <c r="G20028" s="556"/>
      <c r="H20028" s="556"/>
      <c r="I20028" s="556"/>
      <c r="J20028" s="556"/>
      <c r="K20028" s="556"/>
      <c r="L20028" s="556"/>
      <c r="M20028" s="556"/>
      <c r="N20028" s="556"/>
      <c r="O20028" s="556"/>
      <c r="P20028" s="556"/>
      <c r="Q20028" s="557"/>
      <c r="R20028" s="557"/>
      <c r="S20028" s="557"/>
      <c r="T20028" s="557"/>
      <c r="U20028" s="556"/>
      <c r="V20028" s="556"/>
      <c r="W20028" s="556"/>
      <c r="X20028" s="556"/>
      <c r="Y20028" s="556"/>
      <c r="Z20028" s="556"/>
      <c r="AA20028" s="556"/>
      <c r="AB20028" s="556"/>
      <c r="AC20028" s="556"/>
      <c r="AD20028" s="556"/>
      <c r="AE20028" s="556"/>
      <c r="AF20028" s="556"/>
      <c r="AG20028" s="556"/>
      <c r="AH20028" s="556"/>
      <c r="AI20028" s="556"/>
      <c r="AJ20028" s="556"/>
      <c r="AK20028" s="560"/>
      <c r="AL20028" s="556"/>
      <c r="AM20028" s="556"/>
      <c r="AN20028" s="556"/>
      <c r="AO20028" s="556"/>
      <c r="AP20028" s="556"/>
      <c r="AQ20028" s="556"/>
      <c r="AR20028" s="556"/>
      <c r="AS20028" s="556"/>
      <c r="AT20028" s="561"/>
      <c r="AU20028" s="562"/>
      <c r="AV20028" s="562"/>
      <c r="AW20028" s="563"/>
      <c r="AX20028" s="563"/>
    </row>
    <row r="20029" spans="1:50" s="564" customFormat="1" x14ac:dyDescent="0.25">
      <c r="A20029" s="559"/>
      <c r="B20029" s="556"/>
      <c r="C20029" s="556"/>
      <c r="D20029" s="556"/>
      <c r="E20029" s="556"/>
      <c r="F20029" s="556"/>
      <c r="G20029" s="556"/>
      <c r="H20029" s="556"/>
      <c r="I20029" s="556"/>
      <c r="J20029" s="556"/>
      <c r="K20029" s="556"/>
      <c r="L20029" s="556"/>
      <c r="M20029" s="556"/>
      <c r="N20029" s="556"/>
      <c r="O20029" s="556"/>
      <c r="P20029" s="556"/>
      <c r="Q20029" s="557"/>
      <c r="R20029" s="557"/>
      <c r="S20029" s="557"/>
      <c r="T20029" s="557"/>
      <c r="U20029" s="556"/>
      <c r="V20029" s="556"/>
      <c r="W20029" s="556"/>
      <c r="X20029" s="556"/>
      <c r="Y20029" s="556"/>
      <c r="Z20029" s="556"/>
      <c r="AA20029" s="556"/>
      <c r="AB20029" s="556"/>
      <c r="AC20029" s="556"/>
      <c r="AD20029" s="556"/>
      <c r="AE20029" s="556"/>
      <c r="AF20029" s="556"/>
      <c r="AG20029" s="556"/>
      <c r="AH20029" s="556"/>
      <c r="AI20029" s="556"/>
      <c r="AJ20029" s="556"/>
      <c r="AK20029" s="560"/>
      <c r="AL20029" s="556"/>
      <c r="AM20029" s="556"/>
      <c r="AN20029" s="556"/>
      <c r="AO20029" s="556"/>
      <c r="AP20029" s="556"/>
      <c r="AQ20029" s="556"/>
      <c r="AR20029" s="556"/>
      <c r="AS20029" s="556"/>
      <c r="AT20029" s="561"/>
      <c r="AU20029" s="562"/>
      <c r="AV20029" s="562"/>
      <c r="AW20029" s="563"/>
      <c r="AX20029" s="563"/>
    </row>
    <row r="20030" spans="1:50" s="564" customFormat="1" x14ac:dyDescent="0.25">
      <c r="A20030" s="559"/>
      <c r="B20030" s="556"/>
      <c r="C20030" s="556"/>
      <c r="D20030" s="556"/>
      <c r="E20030" s="556"/>
      <c r="F20030" s="556"/>
      <c r="G20030" s="556"/>
      <c r="H20030" s="556"/>
      <c r="I20030" s="556"/>
      <c r="J20030" s="556"/>
      <c r="K20030" s="556"/>
      <c r="L20030" s="556"/>
      <c r="M20030" s="556"/>
      <c r="N20030" s="556"/>
      <c r="O20030" s="556"/>
      <c r="P20030" s="556"/>
      <c r="Q20030" s="557"/>
      <c r="R20030" s="557"/>
      <c r="S20030" s="557"/>
      <c r="T20030" s="557"/>
      <c r="U20030" s="556"/>
      <c r="V20030" s="556"/>
      <c r="W20030" s="556"/>
      <c r="X20030" s="556"/>
      <c r="Y20030" s="556"/>
      <c r="Z20030" s="556"/>
      <c r="AA20030" s="556"/>
      <c r="AB20030" s="556"/>
      <c r="AC20030" s="556"/>
      <c r="AD20030" s="556"/>
      <c r="AE20030" s="556"/>
      <c r="AF20030" s="556"/>
      <c r="AG20030" s="556"/>
      <c r="AH20030" s="556"/>
      <c r="AI20030" s="556"/>
      <c r="AJ20030" s="556"/>
      <c r="AK20030" s="560"/>
      <c r="AL20030" s="556"/>
      <c r="AM20030" s="556"/>
      <c r="AN20030" s="556"/>
      <c r="AO20030" s="556"/>
      <c r="AP20030" s="556"/>
      <c r="AQ20030" s="556"/>
      <c r="AR20030" s="556"/>
      <c r="AS20030" s="556"/>
      <c r="AT20030" s="561"/>
      <c r="AU20030" s="562"/>
      <c r="AV20030" s="562"/>
      <c r="AW20030" s="563"/>
      <c r="AX20030" s="563"/>
    </row>
    <row r="20031" spans="1:50" s="564" customFormat="1" x14ac:dyDescent="0.25">
      <c r="A20031" s="559"/>
      <c r="B20031" s="556"/>
      <c r="C20031" s="556"/>
      <c r="D20031" s="556"/>
      <c r="E20031" s="556"/>
      <c r="F20031" s="556"/>
      <c r="G20031" s="556"/>
      <c r="H20031" s="556"/>
      <c r="I20031" s="556"/>
      <c r="J20031" s="556"/>
      <c r="K20031" s="556"/>
      <c r="L20031" s="556"/>
      <c r="M20031" s="556"/>
      <c r="N20031" s="556"/>
      <c r="O20031" s="556"/>
      <c r="P20031" s="556"/>
      <c r="Q20031" s="557"/>
      <c r="R20031" s="557"/>
      <c r="S20031" s="557"/>
      <c r="T20031" s="557"/>
      <c r="U20031" s="556"/>
      <c r="V20031" s="556"/>
      <c r="W20031" s="556"/>
      <c r="X20031" s="556"/>
      <c r="Y20031" s="556"/>
      <c r="Z20031" s="556"/>
      <c r="AA20031" s="556"/>
      <c r="AB20031" s="556"/>
      <c r="AC20031" s="556"/>
      <c r="AD20031" s="556"/>
      <c r="AE20031" s="556"/>
      <c r="AF20031" s="556"/>
      <c r="AG20031" s="556"/>
      <c r="AH20031" s="556"/>
      <c r="AI20031" s="556"/>
      <c r="AJ20031" s="556"/>
      <c r="AK20031" s="560"/>
      <c r="AL20031" s="556"/>
      <c r="AM20031" s="556"/>
      <c r="AN20031" s="556"/>
      <c r="AO20031" s="556"/>
      <c r="AP20031" s="556"/>
      <c r="AQ20031" s="556"/>
      <c r="AR20031" s="556"/>
      <c r="AS20031" s="556"/>
      <c r="AT20031" s="561"/>
      <c r="AU20031" s="562"/>
      <c r="AV20031" s="562"/>
      <c r="AW20031" s="563"/>
      <c r="AX20031" s="563"/>
    </row>
    <row r="20032" spans="1:50" s="564" customFormat="1" x14ac:dyDescent="0.25">
      <c r="A20032" s="559"/>
      <c r="B20032" s="556"/>
      <c r="C20032" s="556"/>
      <c r="D20032" s="556"/>
      <c r="E20032" s="556"/>
      <c r="F20032" s="556"/>
      <c r="G20032" s="556"/>
      <c r="H20032" s="556"/>
      <c r="I20032" s="556"/>
      <c r="J20032" s="556"/>
      <c r="K20032" s="556"/>
      <c r="L20032" s="556"/>
      <c r="M20032" s="556"/>
      <c r="N20032" s="556"/>
      <c r="O20032" s="556"/>
      <c r="P20032" s="556"/>
      <c r="Q20032" s="557"/>
      <c r="R20032" s="557"/>
      <c r="S20032" s="557"/>
      <c r="T20032" s="557"/>
      <c r="U20032" s="556"/>
      <c r="V20032" s="556"/>
      <c r="W20032" s="556"/>
      <c r="X20032" s="556"/>
      <c r="Y20032" s="556"/>
      <c r="Z20032" s="556"/>
      <c r="AA20032" s="556"/>
      <c r="AB20032" s="556"/>
      <c r="AC20032" s="556"/>
      <c r="AD20032" s="556"/>
      <c r="AE20032" s="556"/>
      <c r="AF20032" s="556"/>
      <c r="AG20032" s="556"/>
      <c r="AH20032" s="556"/>
      <c r="AI20032" s="556"/>
      <c r="AJ20032" s="556"/>
      <c r="AK20032" s="560"/>
      <c r="AL20032" s="556"/>
      <c r="AM20032" s="556"/>
      <c r="AN20032" s="556"/>
      <c r="AO20032" s="556"/>
      <c r="AP20032" s="556"/>
      <c r="AQ20032" s="556"/>
      <c r="AR20032" s="556"/>
      <c r="AS20032" s="556"/>
      <c r="AT20032" s="561"/>
      <c r="AU20032" s="562"/>
      <c r="AV20032" s="562"/>
      <c r="AW20032" s="563"/>
      <c r="AX20032" s="563"/>
    </row>
    <row r="20033" spans="1:50" s="564" customFormat="1" x14ac:dyDescent="0.25">
      <c r="A20033" s="559"/>
      <c r="B20033" s="556"/>
      <c r="C20033" s="556"/>
      <c r="D20033" s="556"/>
      <c r="E20033" s="556"/>
      <c r="F20033" s="556"/>
      <c r="G20033" s="556"/>
      <c r="H20033" s="556"/>
      <c r="I20033" s="556"/>
      <c r="J20033" s="556"/>
      <c r="K20033" s="556"/>
      <c r="L20033" s="556"/>
      <c r="M20033" s="556"/>
      <c r="N20033" s="556"/>
      <c r="O20033" s="556"/>
      <c r="P20033" s="556"/>
      <c r="Q20033" s="557"/>
      <c r="R20033" s="557"/>
      <c r="S20033" s="557"/>
      <c r="T20033" s="557"/>
      <c r="U20033" s="556"/>
      <c r="V20033" s="556"/>
      <c r="W20033" s="556"/>
      <c r="X20033" s="556"/>
      <c r="Y20033" s="556"/>
      <c r="Z20033" s="556"/>
      <c r="AA20033" s="556"/>
      <c r="AB20033" s="556"/>
      <c r="AC20033" s="556"/>
      <c r="AD20033" s="556"/>
      <c r="AE20033" s="556"/>
      <c r="AF20033" s="556"/>
      <c r="AG20033" s="556"/>
      <c r="AH20033" s="556"/>
      <c r="AI20033" s="556"/>
      <c r="AJ20033" s="556"/>
      <c r="AK20033" s="560"/>
      <c r="AL20033" s="556"/>
      <c r="AM20033" s="556"/>
      <c r="AN20033" s="556"/>
      <c r="AO20033" s="556"/>
      <c r="AP20033" s="556"/>
      <c r="AQ20033" s="556"/>
      <c r="AR20033" s="556"/>
      <c r="AS20033" s="556"/>
      <c r="AT20033" s="561"/>
      <c r="AU20033" s="562"/>
      <c r="AV20033" s="562"/>
      <c r="AW20033" s="563"/>
      <c r="AX20033" s="563"/>
    </row>
    <row r="20034" spans="1:50" s="564" customFormat="1" x14ac:dyDescent="0.25">
      <c r="A20034" s="559"/>
      <c r="B20034" s="556"/>
      <c r="C20034" s="556"/>
      <c r="D20034" s="556"/>
      <c r="E20034" s="556"/>
      <c r="F20034" s="556"/>
      <c r="G20034" s="556"/>
      <c r="H20034" s="556"/>
      <c r="I20034" s="556"/>
      <c r="J20034" s="556"/>
      <c r="K20034" s="556"/>
      <c r="L20034" s="556"/>
      <c r="M20034" s="556"/>
      <c r="N20034" s="556"/>
      <c r="O20034" s="556"/>
      <c r="P20034" s="556"/>
      <c r="Q20034" s="557"/>
      <c r="R20034" s="557"/>
      <c r="S20034" s="557"/>
      <c r="T20034" s="557"/>
      <c r="U20034" s="556"/>
      <c r="V20034" s="556"/>
      <c r="W20034" s="556"/>
      <c r="X20034" s="556"/>
      <c r="Y20034" s="556"/>
      <c r="Z20034" s="556"/>
      <c r="AA20034" s="556"/>
      <c r="AB20034" s="556"/>
      <c r="AC20034" s="556"/>
      <c r="AD20034" s="556"/>
      <c r="AE20034" s="556"/>
      <c r="AF20034" s="556"/>
      <c r="AG20034" s="556"/>
      <c r="AH20034" s="556"/>
      <c r="AI20034" s="556"/>
      <c r="AJ20034" s="556"/>
      <c r="AK20034" s="560"/>
      <c r="AL20034" s="556"/>
      <c r="AM20034" s="556"/>
      <c r="AN20034" s="556"/>
      <c r="AO20034" s="556"/>
      <c r="AP20034" s="556"/>
      <c r="AQ20034" s="556"/>
      <c r="AR20034" s="556"/>
      <c r="AS20034" s="556"/>
      <c r="AT20034" s="561"/>
      <c r="AU20034" s="562"/>
      <c r="AV20034" s="562"/>
      <c r="AW20034" s="563"/>
      <c r="AX20034" s="563"/>
    </row>
    <row r="20035" spans="1:50" s="564" customFormat="1" x14ac:dyDescent="0.25">
      <c r="A20035" s="559"/>
      <c r="B20035" s="556"/>
      <c r="C20035" s="556"/>
      <c r="D20035" s="556"/>
      <c r="E20035" s="556"/>
      <c r="F20035" s="556"/>
      <c r="G20035" s="556"/>
      <c r="H20035" s="556"/>
      <c r="I20035" s="556"/>
      <c r="J20035" s="556"/>
      <c r="K20035" s="556"/>
      <c r="L20035" s="556"/>
      <c r="M20035" s="556"/>
      <c r="N20035" s="556"/>
      <c r="O20035" s="556"/>
      <c r="P20035" s="556"/>
      <c r="Q20035" s="557"/>
      <c r="R20035" s="557"/>
      <c r="S20035" s="557"/>
      <c r="T20035" s="557"/>
      <c r="U20035" s="556"/>
      <c r="V20035" s="556"/>
      <c r="W20035" s="556"/>
      <c r="X20035" s="556"/>
      <c r="Y20035" s="556"/>
      <c r="Z20035" s="556"/>
      <c r="AA20035" s="556"/>
      <c r="AB20035" s="556"/>
      <c r="AC20035" s="556"/>
      <c r="AD20035" s="556"/>
      <c r="AE20035" s="556"/>
      <c r="AF20035" s="556"/>
      <c r="AG20035" s="556"/>
      <c r="AH20035" s="556"/>
      <c r="AI20035" s="556"/>
      <c r="AJ20035" s="556"/>
      <c r="AK20035" s="560"/>
      <c r="AL20035" s="556"/>
      <c r="AM20035" s="556"/>
      <c r="AN20035" s="556"/>
      <c r="AO20035" s="556"/>
      <c r="AP20035" s="556"/>
      <c r="AQ20035" s="556"/>
      <c r="AR20035" s="556"/>
      <c r="AS20035" s="556"/>
      <c r="AT20035" s="561"/>
      <c r="AU20035" s="562"/>
      <c r="AV20035" s="562"/>
      <c r="AW20035" s="563"/>
      <c r="AX20035" s="563"/>
    </row>
    <row r="20036" spans="1:50" s="564" customFormat="1" x14ac:dyDescent="0.25">
      <c r="A20036" s="559"/>
      <c r="B20036" s="556"/>
      <c r="C20036" s="556"/>
      <c r="D20036" s="556"/>
      <c r="E20036" s="556"/>
      <c r="F20036" s="556"/>
      <c r="G20036" s="556"/>
      <c r="H20036" s="556"/>
      <c r="I20036" s="556"/>
      <c r="J20036" s="556"/>
      <c r="K20036" s="556"/>
      <c r="L20036" s="556"/>
      <c r="M20036" s="556"/>
      <c r="N20036" s="556"/>
      <c r="O20036" s="556"/>
      <c r="P20036" s="556"/>
      <c r="Q20036" s="557"/>
      <c r="R20036" s="557"/>
      <c r="S20036" s="557"/>
      <c r="T20036" s="557"/>
      <c r="U20036" s="556"/>
      <c r="V20036" s="556"/>
      <c r="W20036" s="556"/>
      <c r="X20036" s="556"/>
      <c r="Y20036" s="556"/>
      <c r="Z20036" s="556"/>
      <c r="AA20036" s="556"/>
      <c r="AB20036" s="556"/>
      <c r="AC20036" s="556"/>
      <c r="AD20036" s="556"/>
      <c r="AE20036" s="556"/>
      <c r="AF20036" s="556"/>
      <c r="AG20036" s="556"/>
      <c r="AH20036" s="556"/>
      <c r="AI20036" s="556"/>
      <c r="AJ20036" s="556"/>
      <c r="AK20036" s="560"/>
      <c r="AL20036" s="556"/>
      <c r="AM20036" s="556"/>
      <c r="AN20036" s="556"/>
      <c r="AO20036" s="556"/>
      <c r="AP20036" s="556"/>
      <c r="AQ20036" s="556"/>
      <c r="AR20036" s="556"/>
      <c r="AS20036" s="556"/>
      <c r="AT20036" s="561"/>
      <c r="AU20036" s="562"/>
      <c r="AV20036" s="562"/>
      <c r="AW20036" s="563"/>
      <c r="AX20036" s="563"/>
    </row>
    <row r="20037" spans="1:50" s="564" customFormat="1" x14ac:dyDescent="0.25">
      <c r="A20037" s="559"/>
      <c r="B20037" s="556"/>
      <c r="C20037" s="556"/>
      <c r="D20037" s="556"/>
      <c r="E20037" s="556"/>
      <c r="F20037" s="556"/>
      <c r="G20037" s="556"/>
      <c r="H20037" s="556"/>
      <c r="I20037" s="556"/>
      <c r="J20037" s="556"/>
      <c r="K20037" s="556"/>
      <c r="L20037" s="556"/>
      <c r="M20037" s="556"/>
      <c r="N20037" s="556"/>
      <c r="O20037" s="556"/>
      <c r="P20037" s="556"/>
      <c r="Q20037" s="557"/>
      <c r="R20037" s="557"/>
      <c r="S20037" s="557"/>
      <c r="T20037" s="557"/>
      <c r="U20037" s="556"/>
      <c r="V20037" s="556"/>
      <c r="W20037" s="556"/>
      <c r="X20037" s="556"/>
      <c r="Y20037" s="556"/>
      <c r="Z20037" s="556"/>
      <c r="AA20037" s="556"/>
      <c r="AB20037" s="556"/>
      <c r="AC20037" s="556"/>
      <c r="AD20037" s="556"/>
      <c r="AE20037" s="556"/>
      <c r="AF20037" s="556"/>
      <c r="AG20037" s="556"/>
      <c r="AH20037" s="556"/>
      <c r="AI20037" s="556"/>
      <c r="AJ20037" s="556"/>
      <c r="AK20037" s="560"/>
      <c r="AL20037" s="556"/>
      <c r="AM20037" s="556"/>
      <c r="AN20037" s="556"/>
      <c r="AO20037" s="556"/>
      <c r="AP20037" s="556"/>
      <c r="AQ20037" s="556"/>
      <c r="AR20037" s="556"/>
      <c r="AS20037" s="556"/>
      <c r="AT20037" s="561"/>
      <c r="AU20037" s="562"/>
      <c r="AV20037" s="562"/>
      <c r="AW20037" s="563"/>
      <c r="AX20037" s="563"/>
    </row>
    <row r="20038" spans="1:50" s="564" customFormat="1" x14ac:dyDescent="0.25">
      <c r="A20038" s="559"/>
      <c r="B20038" s="556"/>
      <c r="C20038" s="556"/>
      <c r="D20038" s="556"/>
      <c r="E20038" s="556"/>
      <c r="F20038" s="556"/>
      <c r="G20038" s="556"/>
      <c r="H20038" s="556"/>
      <c r="I20038" s="556"/>
      <c r="J20038" s="556"/>
      <c r="K20038" s="556"/>
      <c r="L20038" s="556"/>
      <c r="M20038" s="556"/>
      <c r="N20038" s="556"/>
      <c r="O20038" s="556"/>
      <c r="P20038" s="556"/>
      <c r="Q20038" s="557"/>
      <c r="R20038" s="557"/>
      <c r="S20038" s="557"/>
      <c r="T20038" s="557"/>
      <c r="U20038" s="556"/>
      <c r="V20038" s="556"/>
      <c r="W20038" s="556"/>
      <c r="X20038" s="556"/>
      <c r="Y20038" s="556"/>
      <c r="Z20038" s="556"/>
      <c r="AA20038" s="556"/>
      <c r="AB20038" s="556"/>
      <c r="AC20038" s="556"/>
      <c r="AD20038" s="556"/>
      <c r="AE20038" s="556"/>
      <c r="AF20038" s="556"/>
      <c r="AG20038" s="556"/>
      <c r="AH20038" s="556"/>
      <c r="AI20038" s="556"/>
      <c r="AJ20038" s="556"/>
      <c r="AK20038" s="560"/>
      <c r="AL20038" s="556"/>
      <c r="AM20038" s="556"/>
      <c r="AN20038" s="556"/>
      <c r="AO20038" s="556"/>
      <c r="AP20038" s="556"/>
      <c r="AQ20038" s="556"/>
      <c r="AR20038" s="556"/>
      <c r="AS20038" s="556"/>
      <c r="AT20038" s="561"/>
      <c r="AU20038" s="562"/>
      <c r="AV20038" s="562"/>
      <c r="AW20038" s="563"/>
      <c r="AX20038" s="563"/>
    </row>
    <row r="20039" spans="1:50" s="564" customFormat="1" x14ac:dyDescent="0.25">
      <c r="A20039" s="559"/>
      <c r="B20039" s="556"/>
      <c r="C20039" s="556"/>
      <c r="D20039" s="556"/>
      <c r="E20039" s="556"/>
      <c r="F20039" s="556"/>
      <c r="G20039" s="556"/>
      <c r="H20039" s="556"/>
      <c r="I20039" s="556"/>
      <c r="J20039" s="556"/>
      <c r="K20039" s="556"/>
      <c r="L20039" s="556"/>
      <c r="M20039" s="556"/>
      <c r="N20039" s="556"/>
      <c r="O20039" s="556"/>
      <c r="P20039" s="556"/>
      <c r="Q20039" s="557"/>
      <c r="R20039" s="557"/>
      <c r="S20039" s="557"/>
      <c r="T20039" s="557"/>
      <c r="U20039" s="556"/>
      <c r="V20039" s="556"/>
      <c r="W20039" s="556"/>
      <c r="X20039" s="556"/>
      <c r="Y20039" s="556"/>
      <c r="Z20039" s="556"/>
      <c r="AA20039" s="556"/>
      <c r="AB20039" s="556"/>
      <c r="AC20039" s="556"/>
      <c r="AD20039" s="556"/>
      <c r="AE20039" s="556"/>
      <c r="AF20039" s="556"/>
      <c r="AG20039" s="556"/>
      <c r="AH20039" s="556"/>
      <c r="AI20039" s="556"/>
      <c r="AJ20039" s="556"/>
      <c r="AK20039" s="560"/>
      <c r="AL20039" s="556"/>
      <c r="AM20039" s="556"/>
      <c r="AN20039" s="556"/>
      <c r="AO20039" s="556"/>
      <c r="AP20039" s="556"/>
      <c r="AQ20039" s="556"/>
      <c r="AR20039" s="556"/>
      <c r="AS20039" s="556"/>
      <c r="AT20039" s="561"/>
      <c r="AU20039" s="562"/>
      <c r="AV20039" s="562"/>
      <c r="AW20039" s="563"/>
      <c r="AX20039" s="563"/>
    </row>
    <row r="20040" spans="1:50" s="564" customFormat="1" x14ac:dyDescent="0.25">
      <c r="A20040" s="559"/>
      <c r="B20040" s="556"/>
      <c r="C20040" s="556"/>
      <c r="D20040" s="556"/>
      <c r="E20040" s="556"/>
      <c r="F20040" s="556"/>
      <c r="G20040" s="556"/>
      <c r="H20040" s="556"/>
      <c r="I20040" s="556"/>
      <c r="J20040" s="556"/>
      <c r="K20040" s="556"/>
      <c r="L20040" s="556"/>
      <c r="M20040" s="556"/>
      <c r="N20040" s="556"/>
      <c r="O20040" s="556"/>
      <c r="P20040" s="556"/>
      <c r="Q20040" s="557"/>
      <c r="R20040" s="557"/>
      <c r="S20040" s="557"/>
      <c r="T20040" s="557"/>
      <c r="U20040" s="556"/>
      <c r="V20040" s="556"/>
      <c r="W20040" s="556"/>
      <c r="X20040" s="556"/>
      <c r="Y20040" s="556"/>
      <c r="Z20040" s="556"/>
      <c r="AA20040" s="556"/>
      <c r="AB20040" s="556"/>
      <c r="AC20040" s="556"/>
      <c r="AD20040" s="556"/>
      <c r="AE20040" s="556"/>
      <c r="AF20040" s="556"/>
      <c r="AG20040" s="556"/>
      <c r="AH20040" s="556"/>
      <c r="AI20040" s="556"/>
      <c r="AJ20040" s="556"/>
      <c r="AK20040" s="560"/>
      <c r="AL20040" s="556"/>
      <c r="AM20040" s="556"/>
      <c r="AN20040" s="556"/>
      <c r="AO20040" s="556"/>
      <c r="AP20040" s="556"/>
      <c r="AQ20040" s="556"/>
      <c r="AR20040" s="556"/>
      <c r="AS20040" s="556"/>
      <c r="AT20040" s="561"/>
      <c r="AU20040" s="562"/>
      <c r="AV20040" s="562"/>
      <c r="AW20040" s="563"/>
      <c r="AX20040" s="563"/>
    </row>
    <row r="20041" spans="1:50" s="564" customFormat="1" x14ac:dyDescent="0.25">
      <c r="A20041" s="559"/>
      <c r="B20041" s="556"/>
      <c r="C20041" s="556"/>
      <c r="D20041" s="556"/>
      <c r="E20041" s="556"/>
      <c r="F20041" s="556"/>
      <c r="G20041" s="556"/>
      <c r="H20041" s="556"/>
      <c r="I20041" s="556"/>
      <c r="J20041" s="556"/>
      <c r="K20041" s="556"/>
      <c r="L20041" s="556"/>
      <c r="M20041" s="556"/>
      <c r="N20041" s="556"/>
      <c r="O20041" s="556"/>
      <c r="P20041" s="556"/>
      <c r="Q20041" s="557"/>
      <c r="R20041" s="557"/>
      <c r="S20041" s="557"/>
      <c r="T20041" s="557"/>
      <c r="U20041" s="556"/>
      <c r="V20041" s="556"/>
      <c r="W20041" s="556"/>
      <c r="X20041" s="556"/>
      <c r="Y20041" s="556"/>
      <c r="Z20041" s="556"/>
      <c r="AA20041" s="556"/>
      <c r="AB20041" s="556"/>
      <c r="AC20041" s="556"/>
      <c r="AD20041" s="556"/>
      <c r="AE20041" s="556"/>
      <c r="AF20041" s="556"/>
      <c r="AG20041" s="556"/>
      <c r="AH20041" s="556"/>
      <c r="AI20041" s="556"/>
      <c r="AJ20041" s="556"/>
      <c r="AK20041" s="560"/>
      <c r="AL20041" s="556"/>
      <c r="AM20041" s="556"/>
      <c r="AN20041" s="556"/>
      <c r="AO20041" s="556"/>
      <c r="AP20041" s="556"/>
      <c r="AQ20041" s="556"/>
      <c r="AR20041" s="556"/>
      <c r="AS20041" s="556"/>
      <c r="AT20041" s="561"/>
      <c r="AU20041" s="562"/>
      <c r="AV20041" s="562"/>
      <c r="AW20041" s="563"/>
      <c r="AX20041" s="563"/>
    </row>
    <row r="20042" spans="1:50" s="564" customFormat="1" x14ac:dyDescent="0.25">
      <c r="A20042" s="559"/>
      <c r="B20042" s="556"/>
      <c r="C20042" s="556"/>
      <c r="D20042" s="556"/>
      <c r="E20042" s="556"/>
      <c r="F20042" s="556"/>
      <c r="G20042" s="556"/>
      <c r="H20042" s="556"/>
      <c r="I20042" s="556"/>
      <c r="J20042" s="556"/>
      <c r="K20042" s="556"/>
      <c r="L20042" s="556"/>
      <c r="M20042" s="556"/>
      <c r="N20042" s="556"/>
      <c r="O20042" s="556"/>
      <c r="P20042" s="556"/>
      <c r="Q20042" s="557"/>
      <c r="R20042" s="557"/>
      <c r="S20042" s="557"/>
      <c r="T20042" s="557"/>
      <c r="U20042" s="556"/>
      <c r="V20042" s="556"/>
      <c r="W20042" s="556"/>
      <c r="X20042" s="556"/>
      <c r="Y20042" s="556"/>
      <c r="Z20042" s="556"/>
      <c r="AA20042" s="556"/>
      <c r="AB20042" s="556"/>
      <c r="AC20042" s="556"/>
      <c r="AD20042" s="556"/>
      <c r="AE20042" s="556"/>
      <c r="AF20042" s="556"/>
      <c r="AG20042" s="556"/>
      <c r="AH20042" s="556"/>
      <c r="AI20042" s="556"/>
      <c r="AJ20042" s="556"/>
      <c r="AK20042" s="560"/>
      <c r="AL20042" s="556"/>
      <c r="AM20042" s="556"/>
      <c r="AN20042" s="556"/>
      <c r="AO20042" s="556"/>
      <c r="AP20042" s="556"/>
      <c r="AQ20042" s="556"/>
      <c r="AR20042" s="556"/>
      <c r="AS20042" s="556"/>
      <c r="AT20042" s="561"/>
      <c r="AU20042" s="562"/>
      <c r="AV20042" s="562"/>
      <c r="AW20042" s="563"/>
      <c r="AX20042" s="563"/>
    </row>
    <row r="20043" spans="1:50" s="564" customFormat="1" x14ac:dyDescent="0.25">
      <c r="A20043" s="559"/>
      <c r="B20043" s="556"/>
      <c r="C20043" s="556"/>
      <c r="D20043" s="556"/>
      <c r="E20043" s="556"/>
      <c r="F20043" s="556"/>
      <c r="G20043" s="556"/>
      <c r="H20043" s="556"/>
      <c r="I20043" s="556"/>
      <c r="J20043" s="556"/>
      <c r="K20043" s="556"/>
      <c r="L20043" s="556"/>
      <c r="M20043" s="556"/>
      <c r="N20043" s="556"/>
      <c r="O20043" s="556"/>
      <c r="P20043" s="556"/>
      <c r="Q20043" s="557"/>
      <c r="R20043" s="557"/>
      <c r="S20043" s="557"/>
      <c r="T20043" s="557"/>
      <c r="U20043" s="556"/>
      <c r="V20043" s="556"/>
      <c r="W20043" s="556"/>
      <c r="X20043" s="556"/>
      <c r="Y20043" s="556"/>
      <c r="Z20043" s="556"/>
      <c r="AA20043" s="556"/>
      <c r="AB20043" s="556"/>
      <c r="AC20043" s="556"/>
      <c r="AD20043" s="556"/>
      <c r="AE20043" s="556"/>
      <c r="AF20043" s="556"/>
      <c r="AG20043" s="556"/>
      <c r="AH20043" s="556"/>
      <c r="AI20043" s="556"/>
      <c r="AJ20043" s="556"/>
      <c r="AK20043" s="560"/>
      <c r="AL20043" s="556"/>
      <c r="AM20043" s="556"/>
      <c r="AN20043" s="556"/>
      <c r="AO20043" s="556"/>
      <c r="AP20043" s="556"/>
      <c r="AQ20043" s="556"/>
      <c r="AR20043" s="556"/>
      <c r="AS20043" s="556"/>
      <c r="AT20043" s="561"/>
      <c r="AU20043" s="562"/>
      <c r="AV20043" s="562"/>
      <c r="AW20043" s="563"/>
      <c r="AX20043" s="563"/>
    </row>
    <row r="20044" spans="1:50" s="564" customFormat="1" x14ac:dyDescent="0.25">
      <c r="A20044" s="559"/>
      <c r="B20044" s="556"/>
      <c r="C20044" s="556"/>
      <c r="D20044" s="556"/>
      <c r="E20044" s="556"/>
      <c r="F20044" s="556"/>
      <c r="G20044" s="556"/>
      <c r="H20044" s="556"/>
      <c r="I20044" s="556"/>
      <c r="J20044" s="556"/>
      <c r="K20044" s="556"/>
      <c r="L20044" s="556"/>
      <c r="M20044" s="556"/>
      <c r="N20044" s="556"/>
      <c r="O20044" s="556"/>
      <c r="P20044" s="556"/>
      <c r="Q20044" s="557"/>
      <c r="R20044" s="557"/>
      <c r="S20044" s="557"/>
      <c r="T20044" s="557"/>
      <c r="U20044" s="556"/>
      <c r="V20044" s="556"/>
      <c r="W20044" s="556"/>
      <c r="X20044" s="556"/>
      <c r="Y20044" s="556"/>
      <c r="Z20044" s="556"/>
      <c r="AA20044" s="556"/>
      <c r="AB20044" s="556"/>
      <c r="AC20044" s="556"/>
      <c r="AD20044" s="556"/>
      <c r="AE20044" s="556"/>
      <c r="AF20044" s="556"/>
      <c r="AG20044" s="556"/>
      <c r="AH20044" s="556"/>
      <c r="AI20044" s="556"/>
      <c r="AJ20044" s="556"/>
      <c r="AK20044" s="560"/>
      <c r="AL20044" s="556"/>
      <c r="AM20044" s="556"/>
      <c r="AN20044" s="556"/>
      <c r="AO20044" s="556"/>
      <c r="AP20044" s="556"/>
      <c r="AQ20044" s="556"/>
      <c r="AR20044" s="556"/>
      <c r="AS20044" s="556"/>
      <c r="AT20044" s="561"/>
      <c r="AU20044" s="562"/>
      <c r="AV20044" s="562"/>
      <c r="AW20044" s="563"/>
      <c r="AX20044" s="563"/>
    </row>
    <row r="20045" spans="1:50" s="564" customFormat="1" x14ac:dyDescent="0.25">
      <c r="A20045" s="559"/>
      <c r="B20045" s="556"/>
      <c r="C20045" s="556"/>
      <c r="D20045" s="556"/>
      <c r="E20045" s="556"/>
      <c r="F20045" s="556"/>
      <c r="G20045" s="556"/>
      <c r="H20045" s="556"/>
      <c r="I20045" s="556"/>
      <c r="J20045" s="556"/>
      <c r="K20045" s="556"/>
      <c r="L20045" s="556"/>
      <c r="M20045" s="556"/>
      <c r="N20045" s="556"/>
      <c r="O20045" s="556"/>
      <c r="P20045" s="556"/>
      <c r="Q20045" s="557"/>
      <c r="R20045" s="557"/>
      <c r="S20045" s="557"/>
      <c r="T20045" s="557"/>
      <c r="U20045" s="556"/>
      <c r="V20045" s="556"/>
      <c r="W20045" s="556"/>
      <c r="X20045" s="556"/>
      <c r="Y20045" s="556"/>
      <c r="Z20045" s="556"/>
      <c r="AA20045" s="556"/>
      <c r="AB20045" s="556"/>
      <c r="AC20045" s="556"/>
      <c r="AD20045" s="556"/>
      <c r="AE20045" s="556"/>
      <c r="AF20045" s="556"/>
      <c r="AG20045" s="556"/>
      <c r="AH20045" s="556"/>
      <c r="AI20045" s="556"/>
      <c r="AJ20045" s="556"/>
      <c r="AK20045" s="560"/>
      <c r="AL20045" s="556"/>
      <c r="AM20045" s="556"/>
      <c r="AN20045" s="556"/>
      <c r="AO20045" s="556"/>
      <c r="AP20045" s="556"/>
      <c r="AQ20045" s="556"/>
      <c r="AR20045" s="556"/>
      <c r="AS20045" s="556"/>
      <c r="AT20045" s="561"/>
      <c r="AU20045" s="562"/>
      <c r="AV20045" s="562"/>
      <c r="AW20045" s="563"/>
      <c r="AX20045" s="563"/>
    </row>
    <row r="20046" spans="1:50" s="564" customFormat="1" x14ac:dyDescent="0.25">
      <c r="A20046" s="559"/>
      <c r="B20046" s="556"/>
      <c r="C20046" s="556"/>
      <c r="D20046" s="556"/>
      <c r="E20046" s="556"/>
      <c r="F20046" s="556"/>
      <c r="G20046" s="556"/>
      <c r="H20046" s="556"/>
      <c r="I20046" s="556"/>
      <c r="J20046" s="556"/>
      <c r="K20046" s="556"/>
      <c r="L20046" s="556"/>
      <c r="M20046" s="556"/>
      <c r="N20046" s="556"/>
      <c r="O20046" s="556"/>
      <c r="P20046" s="556"/>
      <c r="Q20046" s="557"/>
      <c r="R20046" s="557"/>
      <c r="S20046" s="557"/>
      <c r="T20046" s="557"/>
      <c r="U20046" s="556"/>
      <c r="V20046" s="556"/>
      <c r="W20046" s="556"/>
      <c r="X20046" s="556"/>
      <c r="Y20046" s="556"/>
      <c r="Z20046" s="556"/>
      <c r="AA20046" s="556"/>
      <c r="AB20046" s="556"/>
      <c r="AC20046" s="556"/>
      <c r="AD20046" s="556"/>
      <c r="AE20046" s="556"/>
      <c r="AF20046" s="556"/>
      <c r="AG20046" s="556"/>
      <c r="AH20046" s="556"/>
      <c r="AI20046" s="556"/>
      <c r="AJ20046" s="556"/>
      <c r="AK20046" s="560"/>
      <c r="AL20046" s="556"/>
      <c r="AM20046" s="556"/>
      <c r="AN20046" s="556"/>
      <c r="AO20046" s="556"/>
      <c r="AP20046" s="556"/>
      <c r="AQ20046" s="556"/>
      <c r="AR20046" s="556"/>
      <c r="AS20046" s="556"/>
      <c r="AT20046" s="561"/>
      <c r="AU20046" s="562"/>
      <c r="AV20046" s="562"/>
      <c r="AW20046" s="563"/>
      <c r="AX20046" s="563"/>
    </row>
    <row r="20047" spans="1:50" s="564" customFormat="1" x14ac:dyDescent="0.25">
      <c r="A20047" s="559"/>
      <c r="B20047" s="556"/>
      <c r="C20047" s="556"/>
      <c r="D20047" s="556"/>
      <c r="E20047" s="556"/>
      <c r="F20047" s="556"/>
      <c r="G20047" s="556"/>
      <c r="H20047" s="556"/>
      <c r="I20047" s="556"/>
      <c r="J20047" s="556"/>
      <c r="K20047" s="556"/>
      <c r="L20047" s="556"/>
      <c r="M20047" s="556"/>
      <c r="N20047" s="556"/>
      <c r="O20047" s="556"/>
      <c r="P20047" s="556"/>
      <c r="Q20047" s="557"/>
      <c r="R20047" s="557"/>
      <c r="S20047" s="557"/>
      <c r="T20047" s="557"/>
      <c r="U20047" s="556"/>
      <c r="V20047" s="556"/>
      <c r="W20047" s="556"/>
      <c r="X20047" s="556"/>
      <c r="Y20047" s="556"/>
      <c r="Z20047" s="556"/>
      <c r="AA20047" s="556"/>
      <c r="AB20047" s="556"/>
      <c r="AC20047" s="556"/>
      <c r="AD20047" s="556"/>
      <c r="AE20047" s="556"/>
      <c r="AF20047" s="556"/>
      <c r="AG20047" s="556"/>
      <c r="AH20047" s="556"/>
      <c r="AI20047" s="556"/>
      <c r="AJ20047" s="556"/>
      <c r="AK20047" s="560"/>
      <c r="AL20047" s="556"/>
      <c r="AM20047" s="556"/>
      <c r="AN20047" s="556"/>
      <c r="AO20047" s="556"/>
      <c r="AP20047" s="556"/>
      <c r="AQ20047" s="556"/>
      <c r="AR20047" s="556"/>
      <c r="AS20047" s="556"/>
      <c r="AT20047" s="561"/>
      <c r="AU20047" s="562"/>
      <c r="AV20047" s="562"/>
      <c r="AW20047" s="563"/>
      <c r="AX20047" s="563"/>
    </row>
    <row r="20048" spans="1:50" s="564" customFormat="1" x14ac:dyDescent="0.25">
      <c r="A20048" s="559"/>
      <c r="B20048" s="556"/>
      <c r="C20048" s="556"/>
      <c r="D20048" s="556"/>
      <c r="E20048" s="556"/>
      <c r="F20048" s="556"/>
      <c r="G20048" s="556"/>
      <c r="H20048" s="556"/>
      <c r="I20048" s="556"/>
      <c r="J20048" s="556"/>
      <c r="K20048" s="556"/>
      <c r="L20048" s="556"/>
      <c r="M20048" s="556"/>
      <c r="N20048" s="556"/>
      <c r="O20048" s="556"/>
      <c r="P20048" s="556"/>
      <c r="Q20048" s="557"/>
      <c r="R20048" s="557"/>
      <c r="S20048" s="557"/>
      <c r="T20048" s="557"/>
      <c r="U20048" s="556"/>
      <c r="V20048" s="556"/>
      <c r="W20048" s="556"/>
      <c r="X20048" s="556"/>
      <c r="Y20048" s="556"/>
      <c r="Z20048" s="556"/>
      <c r="AA20048" s="556"/>
      <c r="AB20048" s="556"/>
      <c r="AC20048" s="556"/>
      <c r="AD20048" s="556"/>
      <c r="AE20048" s="556"/>
      <c r="AF20048" s="556"/>
      <c r="AG20048" s="556"/>
      <c r="AH20048" s="556"/>
      <c r="AI20048" s="556"/>
      <c r="AJ20048" s="556"/>
      <c r="AK20048" s="560"/>
      <c r="AL20048" s="556"/>
      <c r="AM20048" s="556"/>
      <c r="AN20048" s="556"/>
      <c r="AO20048" s="556"/>
      <c r="AP20048" s="556"/>
      <c r="AQ20048" s="556"/>
      <c r="AR20048" s="556"/>
      <c r="AS20048" s="556"/>
      <c r="AT20048" s="561"/>
      <c r="AU20048" s="562"/>
      <c r="AV20048" s="562"/>
      <c r="AW20048" s="563"/>
      <c r="AX20048" s="563"/>
    </row>
    <row r="20049" spans="1:50" s="564" customFormat="1" x14ac:dyDescent="0.25">
      <c r="A20049" s="559"/>
      <c r="B20049" s="556"/>
      <c r="C20049" s="556"/>
      <c r="D20049" s="556"/>
      <c r="E20049" s="556"/>
      <c r="F20049" s="556"/>
      <c r="G20049" s="556"/>
      <c r="H20049" s="556"/>
      <c r="I20049" s="556"/>
      <c r="J20049" s="556"/>
      <c r="K20049" s="556"/>
      <c r="L20049" s="556"/>
      <c r="M20049" s="556"/>
      <c r="N20049" s="556"/>
      <c r="O20049" s="556"/>
      <c r="P20049" s="556"/>
      <c r="Q20049" s="557"/>
      <c r="R20049" s="557"/>
      <c r="S20049" s="557"/>
      <c r="T20049" s="557"/>
      <c r="U20049" s="556"/>
      <c r="V20049" s="556"/>
      <c r="W20049" s="556"/>
      <c r="X20049" s="556"/>
      <c r="Y20049" s="556"/>
      <c r="Z20049" s="556"/>
      <c r="AA20049" s="556"/>
      <c r="AB20049" s="556"/>
      <c r="AC20049" s="556"/>
      <c r="AD20049" s="556"/>
      <c r="AE20049" s="556"/>
      <c r="AF20049" s="556"/>
      <c r="AG20049" s="556"/>
      <c r="AH20049" s="556"/>
      <c r="AI20049" s="556"/>
      <c r="AJ20049" s="556"/>
      <c r="AK20049" s="560"/>
      <c r="AL20049" s="556"/>
      <c r="AM20049" s="556"/>
      <c r="AN20049" s="556"/>
      <c r="AO20049" s="556"/>
      <c r="AP20049" s="556"/>
      <c r="AQ20049" s="556"/>
      <c r="AR20049" s="556"/>
      <c r="AS20049" s="556"/>
      <c r="AT20049" s="561"/>
      <c r="AU20049" s="562"/>
      <c r="AV20049" s="562"/>
      <c r="AW20049" s="563"/>
      <c r="AX20049" s="563"/>
    </row>
    <row r="20050" spans="1:50" s="564" customFormat="1" x14ac:dyDescent="0.25">
      <c r="A20050" s="559"/>
      <c r="B20050" s="556"/>
      <c r="C20050" s="556"/>
      <c r="D20050" s="556"/>
      <c r="E20050" s="556"/>
      <c r="F20050" s="556"/>
      <c r="G20050" s="556"/>
      <c r="H20050" s="556"/>
      <c r="I20050" s="556"/>
      <c r="J20050" s="556"/>
      <c r="K20050" s="556"/>
      <c r="L20050" s="556"/>
      <c r="M20050" s="556"/>
      <c r="N20050" s="556"/>
      <c r="O20050" s="556"/>
      <c r="P20050" s="556"/>
      <c r="Q20050" s="557"/>
      <c r="R20050" s="557"/>
      <c r="S20050" s="557"/>
      <c r="T20050" s="557"/>
      <c r="U20050" s="556"/>
      <c r="V20050" s="556"/>
      <c r="W20050" s="556"/>
      <c r="X20050" s="556"/>
      <c r="Y20050" s="556"/>
      <c r="Z20050" s="556"/>
      <c r="AA20050" s="556"/>
      <c r="AB20050" s="556"/>
      <c r="AC20050" s="556"/>
      <c r="AD20050" s="556"/>
      <c r="AE20050" s="556"/>
      <c r="AF20050" s="556"/>
      <c r="AG20050" s="556"/>
      <c r="AH20050" s="556"/>
      <c r="AI20050" s="556"/>
      <c r="AJ20050" s="556"/>
      <c r="AK20050" s="560"/>
      <c r="AL20050" s="556"/>
      <c r="AM20050" s="556"/>
      <c r="AN20050" s="556"/>
      <c r="AO20050" s="556"/>
      <c r="AP20050" s="556"/>
      <c r="AQ20050" s="556"/>
      <c r="AR20050" s="556"/>
      <c r="AS20050" s="556"/>
      <c r="AT20050" s="561"/>
      <c r="AU20050" s="562"/>
      <c r="AV20050" s="562"/>
      <c r="AW20050" s="563"/>
      <c r="AX20050" s="563"/>
    </row>
    <row r="20051" spans="1:50" s="564" customFormat="1" x14ac:dyDescent="0.25">
      <c r="A20051" s="559"/>
      <c r="B20051" s="556"/>
      <c r="C20051" s="556"/>
      <c r="D20051" s="556"/>
      <c r="E20051" s="556"/>
      <c r="F20051" s="556"/>
      <c r="G20051" s="556"/>
      <c r="H20051" s="556"/>
      <c r="I20051" s="556"/>
      <c r="J20051" s="556"/>
      <c r="K20051" s="556"/>
      <c r="L20051" s="556"/>
      <c r="M20051" s="556"/>
      <c r="N20051" s="556"/>
      <c r="O20051" s="556"/>
      <c r="P20051" s="556"/>
      <c r="Q20051" s="557"/>
      <c r="R20051" s="557"/>
      <c r="S20051" s="557"/>
      <c r="T20051" s="557"/>
      <c r="U20051" s="556"/>
      <c r="V20051" s="556"/>
      <c r="W20051" s="556"/>
      <c r="X20051" s="556"/>
      <c r="Y20051" s="556"/>
      <c r="Z20051" s="556"/>
      <c r="AA20051" s="556"/>
      <c r="AB20051" s="556"/>
      <c r="AC20051" s="556"/>
      <c r="AD20051" s="556"/>
      <c r="AE20051" s="556"/>
      <c r="AF20051" s="556"/>
      <c r="AG20051" s="556"/>
      <c r="AH20051" s="556"/>
      <c r="AI20051" s="556"/>
      <c r="AJ20051" s="556"/>
      <c r="AK20051" s="560"/>
      <c r="AL20051" s="556"/>
      <c r="AM20051" s="556"/>
      <c r="AN20051" s="556"/>
      <c r="AO20051" s="556"/>
      <c r="AP20051" s="556"/>
      <c r="AQ20051" s="556"/>
      <c r="AR20051" s="556"/>
      <c r="AS20051" s="556"/>
      <c r="AT20051" s="561"/>
      <c r="AU20051" s="562"/>
      <c r="AV20051" s="562"/>
      <c r="AW20051" s="563"/>
      <c r="AX20051" s="563"/>
    </row>
    <row r="20052" spans="1:50" s="564" customFormat="1" x14ac:dyDescent="0.25">
      <c r="A20052" s="559"/>
      <c r="B20052" s="556"/>
      <c r="C20052" s="556"/>
      <c r="D20052" s="556"/>
      <c r="E20052" s="556"/>
      <c r="F20052" s="556"/>
      <c r="G20052" s="556"/>
      <c r="H20052" s="556"/>
      <c r="I20052" s="556"/>
      <c r="J20052" s="556"/>
      <c r="K20052" s="556"/>
      <c r="L20052" s="556"/>
      <c r="M20052" s="556"/>
      <c r="N20052" s="556"/>
      <c r="O20052" s="556"/>
      <c r="P20052" s="556"/>
      <c r="Q20052" s="557"/>
      <c r="R20052" s="557"/>
      <c r="S20052" s="557"/>
      <c r="T20052" s="557"/>
      <c r="U20052" s="556"/>
      <c r="V20052" s="556"/>
      <c r="W20052" s="556"/>
      <c r="X20052" s="556"/>
      <c r="Y20052" s="556"/>
      <c r="Z20052" s="556"/>
      <c r="AA20052" s="556"/>
      <c r="AB20052" s="556"/>
      <c r="AC20052" s="556"/>
      <c r="AD20052" s="556"/>
      <c r="AE20052" s="556"/>
      <c r="AF20052" s="556"/>
      <c r="AG20052" s="556"/>
      <c r="AH20052" s="556"/>
      <c r="AI20052" s="556"/>
      <c r="AJ20052" s="556"/>
      <c r="AK20052" s="560"/>
      <c r="AL20052" s="556"/>
      <c r="AM20052" s="556"/>
      <c r="AN20052" s="556"/>
      <c r="AO20052" s="556"/>
      <c r="AP20052" s="556"/>
      <c r="AQ20052" s="556"/>
      <c r="AR20052" s="556"/>
      <c r="AS20052" s="556"/>
      <c r="AT20052" s="561"/>
      <c r="AU20052" s="562"/>
      <c r="AV20052" s="562"/>
      <c r="AW20052" s="563"/>
      <c r="AX20052" s="563"/>
    </row>
    <row r="20053" spans="1:50" s="564" customFormat="1" x14ac:dyDescent="0.25">
      <c r="A20053" s="559"/>
      <c r="B20053" s="556"/>
      <c r="C20053" s="556"/>
      <c r="D20053" s="556"/>
      <c r="E20053" s="556"/>
      <c r="F20053" s="556"/>
      <c r="G20053" s="556"/>
      <c r="H20053" s="556"/>
      <c r="I20053" s="556"/>
      <c r="J20053" s="556"/>
      <c r="K20053" s="556"/>
      <c r="L20053" s="556"/>
      <c r="M20053" s="556"/>
      <c r="N20053" s="556"/>
      <c r="O20053" s="556"/>
      <c r="P20053" s="556"/>
      <c r="Q20053" s="557"/>
      <c r="R20053" s="557"/>
      <c r="S20053" s="557"/>
      <c r="T20053" s="557"/>
      <c r="U20053" s="556"/>
      <c r="V20053" s="556"/>
      <c r="W20053" s="556"/>
      <c r="X20053" s="556"/>
      <c r="Y20053" s="556"/>
      <c r="Z20053" s="556"/>
      <c r="AA20053" s="556"/>
      <c r="AB20053" s="556"/>
      <c r="AC20053" s="556"/>
      <c r="AD20053" s="556"/>
      <c r="AE20053" s="556"/>
      <c r="AF20053" s="556"/>
      <c r="AG20053" s="556"/>
      <c r="AH20053" s="556"/>
      <c r="AI20053" s="556"/>
      <c r="AJ20053" s="556"/>
      <c r="AK20053" s="560"/>
      <c r="AL20053" s="556"/>
      <c r="AM20053" s="556"/>
      <c r="AN20053" s="556"/>
      <c r="AO20053" s="556"/>
      <c r="AP20053" s="556"/>
      <c r="AQ20053" s="556"/>
      <c r="AR20053" s="556"/>
      <c r="AS20053" s="556"/>
      <c r="AT20053" s="561"/>
      <c r="AU20053" s="562"/>
      <c r="AV20053" s="562"/>
      <c r="AW20053" s="563"/>
      <c r="AX20053" s="563"/>
    </row>
    <row r="20054" spans="1:50" s="564" customFormat="1" x14ac:dyDescent="0.25">
      <c r="A20054" s="559"/>
      <c r="B20054" s="556"/>
      <c r="C20054" s="556"/>
      <c r="D20054" s="556"/>
      <c r="E20054" s="556"/>
      <c r="F20054" s="556"/>
      <c r="G20054" s="556"/>
      <c r="H20054" s="556"/>
      <c r="I20054" s="556"/>
      <c r="J20054" s="556"/>
      <c r="K20054" s="556"/>
      <c r="L20054" s="556"/>
      <c r="M20054" s="556"/>
      <c r="N20054" s="556"/>
      <c r="O20054" s="556"/>
      <c r="P20054" s="556"/>
      <c r="Q20054" s="557"/>
      <c r="R20054" s="557"/>
      <c r="S20054" s="557"/>
      <c r="T20054" s="557"/>
      <c r="U20054" s="556"/>
      <c r="V20054" s="556"/>
      <c r="W20054" s="556"/>
      <c r="X20054" s="556"/>
      <c r="Y20054" s="556"/>
      <c r="Z20054" s="556"/>
      <c r="AA20054" s="556"/>
      <c r="AB20054" s="556"/>
      <c r="AC20054" s="556"/>
      <c r="AD20054" s="556"/>
      <c r="AE20054" s="556"/>
      <c r="AF20054" s="556"/>
      <c r="AG20054" s="556"/>
      <c r="AH20054" s="556"/>
      <c r="AI20054" s="556"/>
      <c r="AJ20054" s="556"/>
      <c r="AK20054" s="560"/>
      <c r="AL20054" s="556"/>
      <c r="AM20054" s="556"/>
      <c r="AN20054" s="556"/>
      <c r="AO20054" s="556"/>
      <c r="AP20054" s="556"/>
      <c r="AQ20054" s="556"/>
      <c r="AR20054" s="556"/>
      <c r="AS20054" s="556"/>
      <c r="AT20054" s="561"/>
      <c r="AU20054" s="562"/>
      <c r="AV20054" s="562"/>
      <c r="AW20054" s="563"/>
      <c r="AX20054" s="563"/>
    </row>
    <row r="20055" spans="1:50" s="564" customFormat="1" x14ac:dyDescent="0.25">
      <c r="A20055" s="559"/>
      <c r="B20055" s="556"/>
      <c r="C20055" s="556"/>
      <c r="D20055" s="556"/>
      <c r="E20055" s="556"/>
      <c r="F20055" s="556"/>
      <c r="G20055" s="556"/>
      <c r="H20055" s="556"/>
      <c r="I20055" s="556"/>
      <c r="J20055" s="556"/>
      <c r="K20055" s="556"/>
      <c r="L20055" s="556"/>
      <c r="M20055" s="556"/>
      <c r="N20055" s="556"/>
      <c r="O20055" s="556"/>
      <c r="P20055" s="556"/>
      <c r="Q20055" s="557"/>
      <c r="R20055" s="557"/>
      <c r="S20055" s="557"/>
      <c r="T20055" s="557"/>
      <c r="U20055" s="556"/>
      <c r="V20055" s="556"/>
      <c r="W20055" s="556"/>
      <c r="X20055" s="556"/>
      <c r="Y20055" s="556"/>
      <c r="Z20055" s="556"/>
      <c r="AA20055" s="556"/>
      <c r="AB20055" s="556"/>
      <c r="AC20055" s="556"/>
      <c r="AD20055" s="556"/>
      <c r="AE20055" s="556"/>
      <c r="AF20055" s="556"/>
      <c r="AG20055" s="556"/>
      <c r="AH20055" s="556"/>
      <c r="AI20055" s="556"/>
      <c r="AJ20055" s="556"/>
      <c r="AK20055" s="560"/>
      <c r="AL20055" s="556"/>
      <c r="AM20055" s="556"/>
      <c r="AN20055" s="556"/>
      <c r="AO20055" s="556"/>
      <c r="AP20055" s="556"/>
      <c r="AQ20055" s="556"/>
      <c r="AR20055" s="556"/>
      <c r="AS20055" s="556"/>
      <c r="AT20055" s="561"/>
      <c r="AU20055" s="562"/>
      <c r="AV20055" s="562"/>
      <c r="AW20055" s="563"/>
      <c r="AX20055" s="563"/>
    </row>
    <row r="20056" spans="1:50" s="564" customFormat="1" x14ac:dyDescent="0.25">
      <c r="A20056" s="559"/>
      <c r="B20056" s="556"/>
      <c r="C20056" s="556"/>
      <c r="D20056" s="556"/>
      <c r="E20056" s="556"/>
      <c r="F20056" s="556"/>
      <c r="G20056" s="556"/>
      <c r="H20056" s="556"/>
      <c r="I20056" s="556"/>
      <c r="J20056" s="556"/>
      <c r="K20056" s="556"/>
      <c r="L20056" s="556"/>
      <c r="M20056" s="556"/>
      <c r="N20056" s="556"/>
      <c r="O20056" s="556"/>
      <c r="P20056" s="556"/>
      <c r="Q20056" s="557"/>
      <c r="R20056" s="557"/>
      <c r="S20056" s="557"/>
      <c r="T20056" s="557"/>
      <c r="U20056" s="556"/>
      <c r="V20056" s="556"/>
      <c r="W20056" s="556"/>
      <c r="X20056" s="556"/>
      <c r="Y20056" s="556"/>
      <c r="Z20056" s="556"/>
      <c r="AA20056" s="556"/>
      <c r="AB20056" s="556"/>
      <c r="AC20056" s="556"/>
      <c r="AD20056" s="556"/>
      <c r="AE20056" s="556"/>
      <c r="AF20056" s="556"/>
      <c r="AG20056" s="556"/>
      <c r="AH20056" s="556"/>
      <c r="AI20056" s="556"/>
      <c r="AJ20056" s="556"/>
      <c r="AK20056" s="560"/>
      <c r="AL20056" s="556"/>
      <c r="AM20056" s="556"/>
      <c r="AN20056" s="556"/>
      <c r="AO20056" s="556"/>
      <c r="AP20056" s="556"/>
      <c r="AQ20056" s="556"/>
      <c r="AR20056" s="556"/>
      <c r="AS20056" s="556"/>
      <c r="AT20056" s="561"/>
      <c r="AU20056" s="562"/>
      <c r="AV20056" s="562"/>
      <c r="AW20056" s="563"/>
      <c r="AX20056" s="563"/>
    </row>
    <row r="20057" spans="1:50" s="564" customFormat="1" x14ac:dyDescent="0.25">
      <c r="A20057" s="559"/>
      <c r="B20057" s="556"/>
      <c r="C20057" s="556"/>
      <c r="D20057" s="556"/>
      <c r="E20057" s="556"/>
      <c r="F20057" s="556"/>
      <c r="G20057" s="556"/>
      <c r="H20057" s="556"/>
      <c r="I20057" s="556"/>
      <c r="J20057" s="556"/>
      <c r="K20057" s="556"/>
      <c r="L20057" s="556"/>
      <c r="M20057" s="556"/>
      <c r="N20057" s="556"/>
      <c r="O20057" s="556"/>
      <c r="P20057" s="556"/>
      <c r="Q20057" s="557"/>
      <c r="R20057" s="557"/>
      <c r="S20057" s="557"/>
      <c r="T20057" s="557"/>
      <c r="U20057" s="556"/>
      <c r="V20057" s="556"/>
      <c r="W20057" s="556"/>
      <c r="X20057" s="556"/>
      <c r="Y20057" s="556"/>
      <c r="Z20057" s="556"/>
      <c r="AA20057" s="556"/>
      <c r="AB20057" s="556"/>
      <c r="AC20057" s="556"/>
      <c r="AD20057" s="556"/>
      <c r="AE20057" s="556"/>
      <c r="AF20057" s="556"/>
      <c r="AG20057" s="556"/>
      <c r="AH20057" s="556"/>
      <c r="AI20057" s="556"/>
      <c r="AJ20057" s="556"/>
      <c r="AK20057" s="560"/>
      <c r="AL20057" s="556"/>
      <c r="AM20057" s="556"/>
      <c r="AN20057" s="556"/>
      <c r="AO20057" s="556"/>
      <c r="AP20057" s="556"/>
      <c r="AQ20057" s="556"/>
      <c r="AR20057" s="556"/>
      <c r="AS20057" s="556"/>
      <c r="AT20057" s="561"/>
      <c r="AU20057" s="562"/>
      <c r="AV20057" s="562"/>
      <c r="AW20057" s="563"/>
      <c r="AX20057" s="563"/>
    </row>
    <row r="20058" spans="1:50" s="564" customFormat="1" x14ac:dyDescent="0.25">
      <c r="A20058" s="559"/>
      <c r="B20058" s="556"/>
      <c r="C20058" s="556"/>
      <c r="D20058" s="556"/>
      <c r="E20058" s="556"/>
      <c r="F20058" s="556"/>
      <c r="G20058" s="556"/>
      <c r="H20058" s="556"/>
      <c r="I20058" s="556"/>
      <c r="J20058" s="556"/>
      <c r="K20058" s="556"/>
      <c r="L20058" s="556"/>
      <c r="M20058" s="556"/>
      <c r="N20058" s="556"/>
      <c r="O20058" s="556"/>
      <c r="P20058" s="556"/>
      <c r="Q20058" s="557"/>
      <c r="R20058" s="557"/>
      <c r="S20058" s="557"/>
      <c r="T20058" s="557"/>
      <c r="U20058" s="556"/>
      <c r="V20058" s="556"/>
      <c r="W20058" s="556"/>
      <c r="X20058" s="556"/>
      <c r="Y20058" s="556"/>
      <c r="Z20058" s="556"/>
      <c r="AA20058" s="556"/>
      <c r="AB20058" s="556"/>
      <c r="AC20058" s="556"/>
      <c r="AD20058" s="556"/>
      <c r="AE20058" s="556"/>
      <c r="AF20058" s="556"/>
      <c r="AG20058" s="556"/>
      <c r="AH20058" s="556"/>
      <c r="AI20058" s="556"/>
      <c r="AJ20058" s="556"/>
      <c r="AK20058" s="560"/>
      <c r="AL20058" s="556"/>
      <c r="AM20058" s="556"/>
      <c r="AN20058" s="556"/>
      <c r="AO20058" s="556"/>
      <c r="AP20058" s="556"/>
      <c r="AQ20058" s="556"/>
      <c r="AR20058" s="556"/>
      <c r="AS20058" s="556"/>
      <c r="AT20058" s="561"/>
      <c r="AU20058" s="562"/>
      <c r="AV20058" s="562"/>
      <c r="AW20058" s="563"/>
      <c r="AX20058" s="563"/>
    </row>
    <row r="20059" spans="1:50" s="564" customFormat="1" x14ac:dyDescent="0.25">
      <c r="A20059" s="559"/>
      <c r="B20059" s="556"/>
      <c r="C20059" s="556"/>
      <c r="D20059" s="556"/>
      <c r="E20059" s="556"/>
      <c r="F20059" s="556"/>
      <c r="G20059" s="556"/>
      <c r="H20059" s="556"/>
      <c r="I20059" s="556"/>
      <c r="J20059" s="556"/>
      <c r="K20059" s="556"/>
      <c r="L20059" s="556"/>
      <c r="M20059" s="556"/>
      <c r="N20059" s="556"/>
      <c r="O20059" s="556"/>
      <c r="P20059" s="556"/>
      <c r="Q20059" s="557"/>
      <c r="R20059" s="557"/>
      <c r="S20059" s="557"/>
      <c r="T20059" s="557"/>
      <c r="U20059" s="556"/>
      <c r="V20059" s="556"/>
      <c r="W20059" s="556"/>
      <c r="X20059" s="556"/>
      <c r="Y20059" s="556"/>
      <c r="Z20059" s="556"/>
      <c r="AA20059" s="556"/>
      <c r="AB20059" s="556"/>
      <c r="AC20059" s="556"/>
      <c r="AD20059" s="556"/>
      <c r="AE20059" s="556"/>
      <c r="AF20059" s="556"/>
      <c r="AG20059" s="556"/>
      <c r="AH20059" s="556"/>
      <c r="AI20059" s="556"/>
      <c r="AJ20059" s="556"/>
      <c r="AK20059" s="560"/>
      <c r="AL20059" s="556"/>
      <c r="AM20059" s="556"/>
      <c r="AN20059" s="556"/>
      <c r="AO20059" s="556"/>
      <c r="AP20059" s="556"/>
      <c r="AQ20059" s="556"/>
      <c r="AR20059" s="556"/>
      <c r="AS20059" s="556"/>
      <c r="AT20059" s="561"/>
      <c r="AU20059" s="562"/>
      <c r="AV20059" s="562"/>
      <c r="AW20059" s="563"/>
      <c r="AX20059" s="563"/>
    </row>
    <row r="20060" spans="1:50" s="564" customFormat="1" x14ac:dyDescent="0.25">
      <c r="A20060" s="559"/>
      <c r="B20060" s="556"/>
      <c r="C20060" s="556"/>
      <c r="D20060" s="556"/>
      <c r="E20060" s="556"/>
      <c r="F20060" s="556"/>
      <c r="G20060" s="556"/>
      <c r="H20060" s="556"/>
      <c r="I20060" s="556"/>
      <c r="J20060" s="556"/>
      <c r="K20060" s="556"/>
      <c r="L20060" s="556"/>
      <c r="M20060" s="556"/>
      <c r="N20060" s="556"/>
      <c r="O20060" s="556"/>
      <c r="P20060" s="556"/>
      <c r="Q20060" s="557"/>
      <c r="R20060" s="557"/>
      <c r="S20060" s="557"/>
      <c r="T20060" s="557"/>
      <c r="U20060" s="556"/>
      <c r="V20060" s="556"/>
      <c r="W20060" s="556"/>
      <c r="X20060" s="556"/>
      <c r="Y20060" s="556"/>
      <c r="Z20060" s="556"/>
      <c r="AA20060" s="556"/>
      <c r="AB20060" s="556"/>
      <c r="AC20060" s="556"/>
      <c r="AD20060" s="556"/>
      <c r="AE20060" s="556"/>
      <c r="AF20060" s="556"/>
      <c r="AG20060" s="556"/>
      <c r="AH20060" s="556"/>
      <c r="AI20060" s="556"/>
      <c r="AJ20060" s="556"/>
      <c r="AK20060" s="560"/>
      <c r="AL20060" s="556"/>
      <c r="AM20060" s="556"/>
      <c r="AN20060" s="556"/>
      <c r="AO20060" s="556"/>
      <c r="AP20060" s="556"/>
      <c r="AQ20060" s="556"/>
      <c r="AR20060" s="556"/>
      <c r="AS20060" s="556"/>
      <c r="AT20060" s="561"/>
      <c r="AU20060" s="562"/>
      <c r="AV20060" s="562"/>
      <c r="AW20060" s="563"/>
      <c r="AX20060" s="563"/>
    </row>
    <row r="20061" spans="1:50" s="564" customFormat="1" x14ac:dyDescent="0.25">
      <c r="A20061" s="559"/>
      <c r="B20061" s="556"/>
      <c r="C20061" s="556"/>
      <c r="D20061" s="556"/>
      <c r="E20061" s="556"/>
      <c r="F20061" s="556"/>
      <c r="G20061" s="556"/>
      <c r="H20061" s="556"/>
      <c r="I20061" s="556"/>
      <c r="J20061" s="556"/>
      <c r="K20061" s="556"/>
      <c r="L20061" s="556"/>
      <c r="M20061" s="556"/>
      <c r="N20061" s="556"/>
      <c r="O20061" s="556"/>
      <c r="P20061" s="556"/>
      <c r="Q20061" s="557"/>
      <c r="R20061" s="557"/>
      <c r="S20061" s="557"/>
      <c r="T20061" s="557"/>
      <c r="U20061" s="556"/>
      <c r="V20061" s="556"/>
      <c r="W20061" s="556"/>
      <c r="X20061" s="556"/>
      <c r="Y20061" s="556"/>
      <c r="Z20061" s="556"/>
      <c r="AA20061" s="556"/>
      <c r="AB20061" s="556"/>
      <c r="AC20061" s="556"/>
      <c r="AD20061" s="556"/>
      <c r="AE20061" s="556"/>
      <c r="AF20061" s="556"/>
      <c r="AG20061" s="556"/>
      <c r="AH20061" s="556"/>
      <c r="AI20061" s="556"/>
      <c r="AJ20061" s="556"/>
      <c r="AK20061" s="560"/>
      <c r="AL20061" s="556"/>
      <c r="AM20061" s="556"/>
      <c r="AN20061" s="556"/>
      <c r="AO20061" s="556"/>
      <c r="AP20061" s="556"/>
      <c r="AQ20061" s="556"/>
      <c r="AR20061" s="556"/>
      <c r="AS20061" s="556"/>
      <c r="AT20061" s="561"/>
      <c r="AU20061" s="562"/>
      <c r="AV20061" s="562"/>
      <c r="AW20061" s="563"/>
      <c r="AX20061" s="563"/>
    </row>
    <row r="20062" spans="1:50" s="564" customFormat="1" x14ac:dyDescent="0.25">
      <c r="A20062" s="559"/>
      <c r="B20062" s="556"/>
      <c r="C20062" s="556"/>
      <c r="D20062" s="556"/>
      <c r="E20062" s="556"/>
      <c r="F20062" s="556"/>
      <c r="G20062" s="556"/>
      <c r="H20062" s="556"/>
      <c r="I20062" s="556"/>
      <c r="J20062" s="556"/>
      <c r="K20062" s="556"/>
      <c r="L20062" s="556"/>
      <c r="M20062" s="556"/>
      <c r="N20062" s="556"/>
      <c r="O20062" s="556"/>
      <c r="P20062" s="556"/>
      <c r="Q20062" s="557"/>
      <c r="R20062" s="557"/>
      <c r="S20062" s="557"/>
      <c r="T20062" s="557"/>
      <c r="U20062" s="556"/>
      <c r="V20062" s="556"/>
      <c r="W20062" s="556"/>
      <c r="X20062" s="556"/>
      <c r="Y20062" s="556"/>
      <c r="Z20062" s="556"/>
      <c r="AA20062" s="556"/>
      <c r="AB20062" s="556"/>
      <c r="AC20062" s="556"/>
      <c r="AD20062" s="556"/>
      <c r="AE20062" s="556"/>
      <c r="AF20062" s="556"/>
      <c r="AG20062" s="556"/>
      <c r="AH20062" s="556"/>
      <c r="AI20062" s="556"/>
      <c r="AJ20062" s="556"/>
      <c r="AK20062" s="560"/>
      <c r="AL20062" s="556"/>
      <c r="AM20062" s="556"/>
      <c r="AN20062" s="556"/>
      <c r="AO20062" s="556"/>
      <c r="AP20062" s="556"/>
      <c r="AQ20062" s="556"/>
      <c r="AR20062" s="556"/>
      <c r="AS20062" s="556"/>
      <c r="AT20062" s="561"/>
      <c r="AU20062" s="562"/>
      <c r="AV20062" s="562"/>
      <c r="AW20062" s="563"/>
      <c r="AX20062" s="563"/>
    </row>
    <row r="20063" spans="1:50" s="564" customFormat="1" x14ac:dyDescent="0.25">
      <c r="A20063" s="559"/>
      <c r="B20063" s="556"/>
      <c r="C20063" s="556"/>
      <c r="D20063" s="556"/>
      <c r="E20063" s="556"/>
      <c r="F20063" s="556"/>
      <c r="G20063" s="556"/>
      <c r="H20063" s="556"/>
      <c r="I20063" s="556"/>
      <c r="J20063" s="556"/>
      <c r="K20063" s="556"/>
      <c r="L20063" s="556"/>
      <c r="M20063" s="556"/>
      <c r="N20063" s="556"/>
      <c r="O20063" s="556"/>
      <c r="P20063" s="556"/>
      <c r="Q20063" s="557"/>
      <c r="R20063" s="557"/>
      <c r="S20063" s="557"/>
      <c r="T20063" s="557"/>
      <c r="U20063" s="556"/>
      <c r="V20063" s="556"/>
      <c r="W20063" s="556"/>
      <c r="X20063" s="556"/>
      <c r="Y20063" s="556"/>
      <c r="Z20063" s="556"/>
      <c r="AA20063" s="556"/>
      <c r="AB20063" s="556"/>
      <c r="AC20063" s="556"/>
      <c r="AD20063" s="556"/>
      <c r="AE20063" s="556"/>
      <c r="AF20063" s="556"/>
      <c r="AG20063" s="556"/>
      <c r="AH20063" s="556"/>
      <c r="AI20063" s="556"/>
      <c r="AJ20063" s="556"/>
      <c r="AK20063" s="560"/>
      <c r="AL20063" s="556"/>
      <c r="AM20063" s="556"/>
      <c r="AN20063" s="556"/>
      <c r="AO20063" s="556"/>
      <c r="AP20063" s="556"/>
      <c r="AQ20063" s="556"/>
      <c r="AR20063" s="556"/>
      <c r="AS20063" s="556"/>
      <c r="AT20063" s="561"/>
      <c r="AU20063" s="562"/>
      <c r="AV20063" s="562"/>
      <c r="AW20063" s="563"/>
      <c r="AX20063" s="563"/>
    </row>
    <row r="20064" spans="1:50" s="564" customFormat="1" x14ac:dyDescent="0.25">
      <c r="A20064" s="559"/>
      <c r="B20064" s="556"/>
      <c r="C20064" s="556"/>
      <c r="D20064" s="556"/>
      <c r="E20064" s="556"/>
      <c r="F20064" s="556"/>
      <c r="G20064" s="556"/>
      <c r="H20064" s="556"/>
      <c r="I20064" s="556"/>
      <c r="J20064" s="556"/>
      <c r="K20064" s="556"/>
      <c r="L20064" s="556"/>
      <c r="M20064" s="556"/>
      <c r="N20064" s="556"/>
      <c r="O20064" s="556"/>
      <c r="P20064" s="556"/>
      <c r="Q20064" s="557"/>
      <c r="R20064" s="557"/>
      <c r="S20064" s="557"/>
      <c r="T20064" s="557"/>
      <c r="U20064" s="556"/>
      <c r="V20064" s="556"/>
      <c r="W20064" s="556"/>
      <c r="X20064" s="556"/>
      <c r="Y20064" s="556"/>
      <c r="Z20064" s="556"/>
      <c r="AA20064" s="556"/>
      <c r="AB20064" s="556"/>
      <c r="AC20064" s="556"/>
      <c r="AD20064" s="556"/>
      <c r="AE20064" s="556"/>
      <c r="AF20064" s="556"/>
      <c r="AG20064" s="556"/>
      <c r="AH20064" s="556"/>
      <c r="AI20064" s="556"/>
      <c r="AJ20064" s="556"/>
      <c r="AK20064" s="560"/>
      <c r="AL20064" s="556"/>
      <c r="AM20064" s="556"/>
      <c r="AN20064" s="556"/>
      <c r="AO20064" s="556"/>
      <c r="AP20064" s="556"/>
      <c r="AQ20064" s="556"/>
      <c r="AR20064" s="556"/>
      <c r="AS20064" s="556"/>
      <c r="AT20064" s="561"/>
      <c r="AU20064" s="562"/>
      <c r="AV20064" s="562"/>
      <c r="AW20064" s="563"/>
      <c r="AX20064" s="563"/>
    </row>
    <row r="20065" spans="1:50" s="564" customFormat="1" x14ac:dyDescent="0.25">
      <c r="A20065" s="559"/>
      <c r="B20065" s="556"/>
      <c r="C20065" s="556"/>
      <c r="D20065" s="556"/>
      <c r="E20065" s="556"/>
      <c r="F20065" s="556"/>
      <c r="G20065" s="556"/>
      <c r="H20065" s="556"/>
      <c r="I20065" s="556"/>
      <c r="J20065" s="556"/>
      <c r="K20065" s="556"/>
      <c r="L20065" s="556"/>
      <c r="M20065" s="556"/>
      <c r="N20065" s="556"/>
      <c r="O20065" s="556"/>
      <c r="P20065" s="556"/>
      <c r="Q20065" s="557"/>
      <c r="R20065" s="557"/>
      <c r="S20065" s="557"/>
      <c r="T20065" s="557"/>
      <c r="U20065" s="556"/>
      <c r="V20065" s="556"/>
      <c r="W20065" s="556"/>
      <c r="X20065" s="556"/>
      <c r="Y20065" s="556"/>
      <c r="Z20065" s="556"/>
      <c r="AA20065" s="556"/>
      <c r="AB20065" s="556"/>
      <c r="AC20065" s="556"/>
      <c r="AD20065" s="556"/>
      <c r="AE20065" s="556"/>
      <c r="AF20065" s="556"/>
      <c r="AG20065" s="556"/>
      <c r="AH20065" s="556"/>
      <c r="AI20065" s="556"/>
      <c r="AJ20065" s="556"/>
      <c r="AK20065" s="560"/>
      <c r="AL20065" s="556"/>
      <c r="AM20065" s="556"/>
      <c r="AN20065" s="556"/>
      <c r="AO20065" s="556"/>
      <c r="AP20065" s="556"/>
      <c r="AQ20065" s="556"/>
      <c r="AR20065" s="556"/>
      <c r="AS20065" s="556"/>
      <c r="AT20065" s="561"/>
      <c r="AU20065" s="562"/>
      <c r="AV20065" s="562"/>
      <c r="AW20065" s="563"/>
      <c r="AX20065" s="563"/>
    </row>
    <row r="20066" spans="1:50" s="564" customFormat="1" x14ac:dyDescent="0.25">
      <c r="A20066" s="559"/>
      <c r="B20066" s="556"/>
      <c r="C20066" s="556"/>
      <c r="D20066" s="556"/>
      <c r="E20066" s="556"/>
      <c r="F20066" s="556"/>
      <c r="G20066" s="556"/>
      <c r="H20066" s="556"/>
      <c r="I20066" s="556"/>
      <c r="J20066" s="556"/>
      <c r="K20066" s="556"/>
      <c r="L20066" s="556"/>
      <c r="M20066" s="556"/>
      <c r="N20066" s="556"/>
      <c r="O20066" s="556"/>
      <c r="P20066" s="556"/>
      <c r="Q20066" s="557"/>
      <c r="R20066" s="557"/>
      <c r="S20066" s="557"/>
      <c r="T20066" s="557"/>
      <c r="U20066" s="556"/>
      <c r="V20066" s="556"/>
      <c r="W20066" s="556"/>
      <c r="X20066" s="556"/>
      <c r="Y20066" s="556"/>
      <c r="Z20066" s="556"/>
      <c r="AA20066" s="556"/>
      <c r="AB20066" s="556"/>
      <c r="AC20066" s="556"/>
      <c r="AD20066" s="556"/>
      <c r="AE20066" s="556"/>
      <c r="AF20066" s="556"/>
      <c r="AG20066" s="556"/>
      <c r="AH20066" s="556"/>
      <c r="AI20066" s="556"/>
      <c r="AJ20066" s="556"/>
      <c r="AK20066" s="560"/>
      <c r="AL20066" s="556"/>
      <c r="AM20066" s="556"/>
      <c r="AN20066" s="556"/>
      <c r="AO20066" s="556"/>
      <c r="AP20066" s="556"/>
      <c r="AQ20066" s="556"/>
      <c r="AR20066" s="556"/>
      <c r="AS20066" s="556"/>
      <c r="AT20066" s="561"/>
      <c r="AU20066" s="562"/>
      <c r="AV20066" s="562"/>
      <c r="AW20066" s="563"/>
      <c r="AX20066" s="563"/>
    </row>
    <row r="20067" spans="1:50" s="564" customFormat="1" x14ac:dyDescent="0.25">
      <c r="A20067" s="559"/>
      <c r="B20067" s="556"/>
      <c r="C20067" s="556"/>
      <c r="D20067" s="556"/>
      <c r="E20067" s="556"/>
      <c r="F20067" s="556"/>
      <c r="G20067" s="556"/>
      <c r="H20067" s="556"/>
      <c r="I20067" s="556"/>
      <c r="J20067" s="556"/>
      <c r="K20067" s="556"/>
      <c r="L20067" s="556"/>
      <c r="M20067" s="556"/>
      <c r="N20067" s="556"/>
      <c r="O20067" s="556"/>
      <c r="P20067" s="556"/>
      <c r="Q20067" s="557"/>
      <c r="R20067" s="557"/>
      <c r="S20067" s="557"/>
      <c r="T20067" s="557"/>
      <c r="U20067" s="556"/>
      <c r="V20067" s="556"/>
      <c r="W20067" s="556"/>
      <c r="X20067" s="556"/>
      <c r="Y20067" s="556"/>
      <c r="Z20067" s="556"/>
      <c r="AA20067" s="556"/>
      <c r="AB20067" s="556"/>
      <c r="AC20067" s="556"/>
      <c r="AD20067" s="556"/>
      <c r="AE20067" s="556"/>
      <c r="AF20067" s="556"/>
      <c r="AG20067" s="556"/>
      <c r="AH20067" s="556"/>
      <c r="AI20067" s="556"/>
      <c r="AJ20067" s="556"/>
      <c r="AK20067" s="560"/>
      <c r="AL20067" s="556"/>
      <c r="AM20067" s="556"/>
      <c r="AN20067" s="556"/>
      <c r="AO20067" s="556"/>
      <c r="AP20067" s="556"/>
      <c r="AQ20067" s="556"/>
      <c r="AR20067" s="556"/>
      <c r="AS20067" s="556"/>
      <c r="AT20067" s="561"/>
      <c r="AU20067" s="562"/>
      <c r="AV20067" s="562"/>
      <c r="AW20067" s="563"/>
      <c r="AX20067" s="563"/>
    </row>
    <row r="20068" spans="1:50" s="564" customFormat="1" x14ac:dyDescent="0.25">
      <c r="A20068" s="559"/>
      <c r="B20068" s="556"/>
      <c r="C20068" s="556"/>
      <c r="D20068" s="556"/>
      <c r="E20068" s="556"/>
      <c r="F20068" s="556"/>
      <c r="G20068" s="556"/>
      <c r="H20068" s="556"/>
      <c r="I20068" s="556"/>
      <c r="J20068" s="556"/>
      <c r="K20068" s="556"/>
      <c r="L20068" s="556"/>
      <c r="M20068" s="556"/>
      <c r="N20068" s="556"/>
      <c r="O20068" s="556"/>
      <c r="P20068" s="556"/>
      <c r="Q20068" s="557"/>
      <c r="R20068" s="557"/>
      <c r="S20068" s="557"/>
      <c r="T20068" s="557"/>
      <c r="U20068" s="556"/>
      <c r="V20068" s="556"/>
      <c r="W20068" s="556"/>
      <c r="X20068" s="556"/>
      <c r="Y20068" s="556"/>
      <c r="Z20068" s="556"/>
      <c r="AA20068" s="556"/>
      <c r="AB20068" s="556"/>
      <c r="AC20068" s="556"/>
      <c r="AD20068" s="556"/>
      <c r="AE20068" s="556"/>
      <c r="AF20068" s="556"/>
      <c r="AG20068" s="556"/>
      <c r="AH20068" s="556"/>
      <c r="AI20068" s="556"/>
      <c r="AJ20068" s="556"/>
      <c r="AK20068" s="560"/>
      <c r="AL20068" s="556"/>
      <c r="AM20068" s="556"/>
      <c r="AN20068" s="556"/>
      <c r="AO20068" s="556"/>
      <c r="AP20068" s="556"/>
      <c r="AQ20068" s="556"/>
      <c r="AR20068" s="556"/>
      <c r="AS20068" s="556"/>
      <c r="AT20068" s="561"/>
      <c r="AU20068" s="562"/>
      <c r="AV20068" s="562"/>
      <c r="AW20068" s="563"/>
      <c r="AX20068" s="563"/>
    </row>
    <row r="20069" spans="1:50" s="564" customFormat="1" x14ac:dyDescent="0.25">
      <c r="A20069" s="559"/>
      <c r="B20069" s="556"/>
      <c r="C20069" s="556"/>
      <c r="D20069" s="556"/>
      <c r="E20069" s="556"/>
      <c r="F20069" s="556"/>
      <c r="G20069" s="556"/>
      <c r="H20069" s="556"/>
      <c r="I20069" s="556"/>
      <c r="J20069" s="556"/>
      <c r="K20069" s="556"/>
      <c r="L20069" s="556"/>
      <c r="M20069" s="556"/>
      <c r="N20069" s="556"/>
      <c r="O20069" s="556"/>
      <c r="P20069" s="556"/>
      <c r="Q20069" s="557"/>
      <c r="R20069" s="557"/>
      <c r="S20069" s="557"/>
      <c r="T20069" s="557"/>
      <c r="U20069" s="556"/>
      <c r="V20069" s="556"/>
      <c r="W20069" s="556"/>
      <c r="X20069" s="556"/>
      <c r="Y20069" s="556"/>
      <c r="Z20069" s="556"/>
      <c r="AA20069" s="556"/>
      <c r="AB20069" s="556"/>
      <c r="AC20069" s="556"/>
      <c r="AD20069" s="556"/>
      <c r="AE20069" s="556"/>
      <c r="AF20069" s="556"/>
      <c r="AG20069" s="556"/>
      <c r="AH20069" s="556"/>
      <c r="AI20069" s="556"/>
      <c r="AJ20069" s="556"/>
      <c r="AK20069" s="560"/>
      <c r="AL20069" s="556"/>
      <c r="AM20069" s="556"/>
      <c r="AN20069" s="556"/>
      <c r="AO20069" s="556"/>
      <c r="AP20069" s="556"/>
      <c r="AQ20069" s="556"/>
      <c r="AR20069" s="556"/>
      <c r="AS20069" s="556"/>
      <c r="AT20069" s="561"/>
      <c r="AU20069" s="562"/>
      <c r="AV20069" s="562"/>
      <c r="AW20069" s="563"/>
      <c r="AX20069" s="563"/>
    </row>
    <row r="20070" spans="1:50" s="564" customFormat="1" x14ac:dyDescent="0.25">
      <c r="A20070" s="559"/>
      <c r="B20070" s="556"/>
      <c r="C20070" s="556"/>
      <c r="D20070" s="556"/>
      <c r="E20070" s="556"/>
      <c r="F20070" s="556"/>
      <c r="G20070" s="556"/>
      <c r="H20070" s="556"/>
      <c r="I20070" s="556"/>
      <c r="J20070" s="556"/>
      <c r="K20070" s="556"/>
      <c r="L20070" s="556"/>
      <c r="M20070" s="556"/>
      <c r="N20070" s="556"/>
      <c r="O20070" s="556"/>
      <c r="P20070" s="556"/>
      <c r="Q20070" s="557"/>
      <c r="R20070" s="557"/>
      <c r="S20070" s="557"/>
      <c r="T20070" s="557"/>
      <c r="U20070" s="556"/>
      <c r="V20070" s="556"/>
      <c r="W20070" s="556"/>
      <c r="X20070" s="556"/>
      <c r="Y20070" s="556"/>
      <c r="Z20070" s="556"/>
      <c r="AA20070" s="556"/>
      <c r="AB20070" s="556"/>
      <c r="AC20070" s="556"/>
      <c r="AD20070" s="556"/>
      <c r="AE20070" s="556"/>
      <c r="AF20070" s="556"/>
      <c r="AG20070" s="556"/>
      <c r="AH20070" s="556"/>
      <c r="AI20070" s="556"/>
      <c r="AJ20070" s="556"/>
      <c r="AK20070" s="560"/>
      <c r="AL20070" s="556"/>
      <c r="AM20070" s="556"/>
      <c r="AN20070" s="556"/>
      <c r="AO20070" s="556"/>
      <c r="AP20070" s="556"/>
      <c r="AQ20070" s="556"/>
      <c r="AR20070" s="556"/>
      <c r="AS20070" s="556"/>
      <c r="AT20070" s="561"/>
      <c r="AU20070" s="562"/>
      <c r="AV20070" s="562"/>
      <c r="AW20070" s="563"/>
      <c r="AX20070" s="563"/>
    </row>
    <row r="20071" spans="1:50" s="564" customFormat="1" x14ac:dyDescent="0.25">
      <c r="A20071" s="559"/>
      <c r="B20071" s="556"/>
      <c r="C20071" s="556"/>
      <c r="D20071" s="556"/>
      <c r="E20071" s="556"/>
      <c r="F20071" s="556"/>
      <c r="G20071" s="556"/>
      <c r="H20071" s="556"/>
      <c r="I20071" s="556"/>
      <c r="J20071" s="556"/>
      <c r="K20071" s="556"/>
      <c r="L20071" s="556"/>
      <c r="M20071" s="556"/>
      <c r="N20071" s="556"/>
      <c r="O20071" s="556"/>
      <c r="P20071" s="556"/>
      <c r="Q20071" s="557"/>
      <c r="R20071" s="557"/>
      <c r="S20071" s="557"/>
      <c r="T20071" s="557"/>
      <c r="U20071" s="556"/>
      <c r="V20071" s="556"/>
      <c r="W20071" s="556"/>
      <c r="X20071" s="556"/>
      <c r="Y20071" s="556"/>
      <c r="Z20071" s="556"/>
      <c r="AA20071" s="556"/>
      <c r="AB20071" s="556"/>
      <c r="AC20071" s="556"/>
      <c r="AD20071" s="556"/>
      <c r="AE20071" s="556"/>
      <c r="AF20071" s="556"/>
      <c r="AG20071" s="556"/>
      <c r="AH20071" s="556"/>
      <c r="AI20071" s="556"/>
      <c r="AJ20071" s="556"/>
      <c r="AK20071" s="560"/>
      <c r="AL20071" s="556"/>
      <c r="AM20071" s="556"/>
      <c r="AN20071" s="556"/>
      <c r="AO20071" s="556"/>
      <c r="AP20071" s="556"/>
      <c r="AQ20071" s="556"/>
      <c r="AR20071" s="556"/>
      <c r="AS20071" s="556"/>
      <c r="AT20071" s="561"/>
      <c r="AU20071" s="562"/>
      <c r="AV20071" s="562"/>
      <c r="AW20071" s="563"/>
      <c r="AX20071" s="563"/>
    </row>
    <row r="20072" spans="1:50" s="564" customFormat="1" x14ac:dyDescent="0.25">
      <c r="A20072" s="559"/>
      <c r="B20072" s="556"/>
      <c r="C20072" s="556"/>
      <c r="D20072" s="556"/>
      <c r="E20072" s="556"/>
      <c r="F20072" s="556"/>
      <c r="G20072" s="556"/>
      <c r="H20072" s="556"/>
      <c r="I20072" s="556"/>
      <c r="J20072" s="556"/>
      <c r="K20072" s="556"/>
      <c r="L20072" s="556"/>
      <c r="M20072" s="556"/>
      <c r="N20072" s="556"/>
      <c r="O20072" s="556"/>
      <c r="P20072" s="556"/>
      <c r="Q20072" s="557"/>
      <c r="R20072" s="557"/>
      <c r="S20072" s="557"/>
      <c r="T20072" s="557"/>
      <c r="U20072" s="556"/>
      <c r="V20072" s="556"/>
      <c r="W20072" s="556"/>
      <c r="X20072" s="556"/>
      <c r="Y20072" s="556"/>
      <c r="Z20072" s="556"/>
      <c r="AA20072" s="556"/>
      <c r="AB20072" s="556"/>
      <c r="AC20072" s="556"/>
      <c r="AD20072" s="556"/>
      <c r="AE20072" s="556"/>
      <c r="AF20072" s="556"/>
      <c r="AG20072" s="556"/>
      <c r="AH20072" s="556"/>
      <c r="AI20072" s="556"/>
      <c r="AJ20072" s="556"/>
      <c r="AK20072" s="560"/>
      <c r="AL20072" s="556"/>
      <c r="AM20072" s="556"/>
      <c r="AN20072" s="556"/>
      <c r="AO20072" s="556"/>
      <c r="AP20072" s="556"/>
      <c r="AQ20072" s="556"/>
      <c r="AR20072" s="556"/>
      <c r="AS20072" s="556"/>
      <c r="AT20072" s="561"/>
      <c r="AU20072" s="562"/>
      <c r="AV20072" s="562"/>
      <c r="AW20072" s="563"/>
      <c r="AX20072" s="563"/>
    </row>
    <row r="20073" spans="1:50" s="564" customFormat="1" x14ac:dyDescent="0.25">
      <c r="A20073" s="559"/>
      <c r="B20073" s="556"/>
      <c r="C20073" s="556"/>
      <c r="D20073" s="556"/>
      <c r="E20073" s="556"/>
      <c r="F20073" s="556"/>
      <c r="G20073" s="556"/>
      <c r="H20073" s="556"/>
      <c r="I20073" s="556"/>
      <c r="J20073" s="556"/>
      <c r="K20073" s="556"/>
      <c r="L20073" s="556"/>
      <c r="M20073" s="556"/>
      <c r="N20073" s="556"/>
      <c r="O20073" s="556"/>
      <c r="P20073" s="556"/>
      <c r="Q20073" s="557"/>
      <c r="R20073" s="557"/>
      <c r="S20073" s="557"/>
      <c r="T20073" s="557"/>
      <c r="U20073" s="556"/>
      <c r="V20073" s="556"/>
      <c r="W20073" s="556"/>
      <c r="X20073" s="556"/>
      <c r="Y20073" s="556"/>
      <c r="Z20073" s="556"/>
      <c r="AA20073" s="556"/>
      <c r="AB20073" s="556"/>
      <c r="AC20073" s="556"/>
      <c r="AD20073" s="556"/>
      <c r="AE20073" s="556"/>
      <c r="AF20073" s="556"/>
      <c r="AG20073" s="556"/>
      <c r="AH20073" s="556"/>
      <c r="AI20073" s="556"/>
      <c r="AJ20073" s="556"/>
      <c r="AK20073" s="560"/>
      <c r="AL20073" s="556"/>
      <c r="AM20073" s="556"/>
      <c r="AN20073" s="556"/>
      <c r="AO20073" s="556"/>
      <c r="AP20073" s="556"/>
      <c r="AQ20073" s="556"/>
      <c r="AR20073" s="556"/>
      <c r="AS20073" s="556"/>
      <c r="AT20073" s="561"/>
      <c r="AU20073" s="562"/>
      <c r="AV20073" s="562"/>
      <c r="AW20073" s="563"/>
      <c r="AX20073" s="563"/>
    </row>
    <row r="20074" spans="1:50" s="564" customFormat="1" x14ac:dyDescent="0.25">
      <c r="A20074" s="559"/>
      <c r="B20074" s="556"/>
      <c r="C20074" s="556"/>
      <c r="D20074" s="556"/>
      <c r="E20074" s="556"/>
      <c r="F20074" s="556"/>
      <c r="G20074" s="556"/>
      <c r="H20074" s="556"/>
      <c r="I20074" s="556"/>
      <c r="J20074" s="556"/>
      <c r="K20074" s="556"/>
      <c r="L20074" s="556"/>
      <c r="M20074" s="556"/>
      <c r="N20074" s="556"/>
      <c r="O20074" s="556"/>
      <c r="P20074" s="556"/>
      <c r="Q20074" s="557"/>
      <c r="R20074" s="557"/>
      <c r="S20074" s="557"/>
      <c r="T20074" s="557"/>
      <c r="U20074" s="556"/>
      <c r="V20074" s="556"/>
      <c r="W20074" s="556"/>
      <c r="X20074" s="556"/>
      <c r="Y20074" s="556"/>
      <c r="Z20074" s="556"/>
      <c r="AA20074" s="556"/>
      <c r="AB20074" s="556"/>
      <c r="AC20074" s="556"/>
      <c r="AD20074" s="556"/>
      <c r="AE20074" s="556"/>
      <c r="AF20074" s="556"/>
      <c r="AG20074" s="556"/>
      <c r="AH20074" s="556"/>
      <c r="AI20074" s="556"/>
      <c r="AJ20074" s="556"/>
      <c r="AK20074" s="560"/>
      <c r="AL20074" s="556"/>
      <c r="AM20074" s="556"/>
      <c r="AN20074" s="556"/>
      <c r="AO20074" s="556"/>
      <c r="AP20074" s="556"/>
      <c r="AQ20074" s="556"/>
      <c r="AR20074" s="556"/>
      <c r="AS20074" s="556"/>
      <c r="AT20074" s="561"/>
      <c r="AU20074" s="562"/>
      <c r="AV20074" s="562"/>
      <c r="AW20074" s="563"/>
      <c r="AX20074" s="563"/>
    </row>
    <row r="20075" spans="1:50" s="564" customFormat="1" x14ac:dyDescent="0.25">
      <c r="A20075" s="559"/>
      <c r="B20075" s="556"/>
      <c r="C20075" s="556"/>
      <c r="D20075" s="556"/>
      <c r="E20075" s="556"/>
      <c r="F20075" s="556"/>
      <c r="G20075" s="556"/>
      <c r="H20075" s="556"/>
      <c r="I20075" s="556"/>
      <c r="J20075" s="556"/>
      <c r="K20075" s="556"/>
      <c r="L20075" s="556"/>
      <c r="M20075" s="556"/>
      <c r="N20075" s="556"/>
      <c r="O20075" s="556"/>
      <c r="P20075" s="556"/>
      <c r="Q20075" s="557"/>
      <c r="R20075" s="557"/>
      <c r="S20075" s="557"/>
      <c r="T20075" s="557"/>
      <c r="U20075" s="556"/>
      <c r="V20075" s="556"/>
      <c r="W20075" s="556"/>
      <c r="X20075" s="556"/>
      <c r="Y20075" s="556"/>
      <c r="Z20075" s="556"/>
      <c r="AA20075" s="556"/>
      <c r="AB20075" s="556"/>
      <c r="AC20075" s="556"/>
      <c r="AD20075" s="556"/>
      <c r="AE20075" s="556"/>
      <c r="AF20075" s="556"/>
      <c r="AG20075" s="556"/>
      <c r="AH20075" s="556"/>
      <c r="AI20075" s="556"/>
      <c r="AJ20075" s="556"/>
      <c r="AK20075" s="560"/>
      <c r="AL20075" s="556"/>
      <c r="AM20075" s="556"/>
      <c r="AN20075" s="556"/>
      <c r="AO20075" s="556"/>
      <c r="AP20075" s="556"/>
      <c r="AQ20075" s="556"/>
      <c r="AR20075" s="556"/>
      <c r="AS20075" s="556"/>
      <c r="AT20075" s="561"/>
      <c r="AU20075" s="562"/>
      <c r="AV20075" s="562"/>
      <c r="AW20075" s="563"/>
      <c r="AX20075" s="563"/>
    </row>
    <row r="20076" spans="1:50" s="564" customFormat="1" x14ac:dyDescent="0.25">
      <c r="A20076" s="559"/>
      <c r="B20076" s="556"/>
      <c r="C20076" s="556"/>
      <c r="D20076" s="556"/>
      <c r="E20076" s="556"/>
      <c r="F20076" s="556"/>
      <c r="G20076" s="556"/>
      <c r="H20076" s="556"/>
      <c r="I20076" s="556"/>
      <c r="J20076" s="556"/>
      <c r="K20076" s="556"/>
      <c r="L20076" s="556"/>
      <c r="M20076" s="556"/>
      <c r="N20076" s="556"/>
      <c r="O20076" s="556"/>
      <c r="P20076" s="556"/>
      <c r="Q20076" s="557"/>
      <c r="R20076" s="557"/>
      <c r="S20076" s="557"/>
      <c r="T20076" s="557"/>
      <c r="U20076" s="556"/>
      <c r="V20076" s="556"/>
      <c r="W20076" s="556"/>
      <c r="X20076" s="556"/>
      <c r="Y20076" s="556"/>
      <c r="Z20076" s="556"/>
      <c r="AA20076" s="556"/>
      <c r="AB20076" s="556"/>
      <c r="AC20076" s="556"/>
      <c r="AD20076" s="556"/>
      <c r="AE20076" s="556"/>
      <c r="AF20076" s="556"/>
      <c r="AG20076" s="556"/>
      <c r="AH20076" s="556"/>
      <c r="AI20076" s="556"/>
      <c r="AJ20076" s="556"/>
      <c r="AK20076" s="560"/>
      <c r="AL20076" s="556"/>
      <c r="AM20076" s="556"/>
      <c r="AN20076" s="556"/>
      <c r="AO20076" s="556"/>
      <c r="AP20076" s="556"/>
      <c r="AQ20076" s="556"/>
      <c r="AR20076" s="556"/>
      <c r="AS20076" s="556"/>
      <c r="AT20076" s="561"/>
      <c r="AU20076" s="562"/>
      <c r="AV20076" s="562"/>
      <c r="AW20076" s="563"/>
      <c r="AX20076" s="563"/>
    </row>
    <row r="20077" spans="1:50" s="564" customFormat="1" x14ac:dyDescent="0.25">
      <c r="A20077" s="559"/>
      <c r="B20077" s="556"/>
      <c r="C20077" s="556"/>
      <c r="D20077" s="556"/>
      <c r="E20077" s="556"/>
      <c r="F20077" s="556"/>
      <c r="G20077" s="556"/>
      <c r="H20077" s="556"/>
      <c r="I20077" s="556"/>
      <c r="J20077" s="556"/>
      <c r="K20077" s="556"/>
      <c r="L20077" s="556"/>
      <c r="M20077" s="556"/>
      <c r="N20077" s="556"/>
      <c r="O20077" s="556"/>
      <c r="P20077" s="556"/>
      <c r="Q20077" s="557"/>
      <c r="R20077" s="557"/>
      <c r="S20077" s="557"/>
      <c r="T20077" s="557"/>
      <c r="U20077" s="556"/>
      <c r="V20077" s="556"/>
      <c r="W20077" s="556"/>
      <c r="X20077" s="556"/>
      <c r="Y20077" s="556"/>
      <c r="Z20077" s="556"/>
      <c r="AA20077" s="556"/>
      <c r="AB20077" s="556"/>
      <c r="AC20077" s="556"/>
      <c r="AD20077" s="556"/>
      <c r="AE20077" s="556"/>
      <c r="AF20077" s="556"/>
      <c r="AG20077" s="556"/>
      <c r="AH20077" s="556"/>
      <c r="AI20077" s="556"/>
      <c r="AJ20077" s="556"/>
      <c r="AK20077" s="560"/>
      <c r="AL20077" s="556"/>
      <c r="AM20077" s="556"/>
      <c r="AN20077" s="556"/>
      <c r="AO20077" s="556"/>
      <c r="AP20077" s="556"/>
      <c r="AQ20077" s="556"/>
      <c r="AR20077" s="556"/>
      <c r="AS20077" s="556"/>
      <c r="AT20077" s="561"/>
      <c r="AU20077" s="562"/>
      <c r="AV20077" s="562"/>
      <c r="AW20077" s="563"/>
      <c r="AX20077" s="563"/>
    </row>
    <row r="20078" spans="1:50" s="564" customFormat="1" x14ac:dyDescent="0.25">
      <c r="A20078" s="559"/>
      <c r="B20078" s="556"/>
      <c r="C20078" s="556"/>
      <c r="D20078" s="556"/>
      <c r="E20078" s="556"/>
      <c r="F20078" s="556"/>
      <c r="G20078" s="556"/>
      <c r="H20078" s="556"/>
      <c r="I20078" s="556"/>
      <c r="J20078" s="556"/>
      <c r="K20078" s="556"/>
      <c r="L20078" s="556"/>
      <c r="M20078" s="556"/>
      <c r="N20078" s="556"/>
      <c r="O20078" s="556"/>
      <c r="P20078" s="556"/>
      <c r="Q20078" s="557"/>
      <c r="R20078" s="557"/>
      <c r="S20078" s="557"/>
      <c r="T20078" s="557"/>
      <c r="U20078" s="556"/>
      <c r="V20078" s="556"/>
      <c r="W20078" s="556"/>
      <c r="X20078" s="556"/>
      <c r="Y20078" s="556"/>
      <c r="Z20078" s="556"/>
      <c r="AA20078" s="556"/>
      <c r="AB20078" s="556"/>
      <c r="AC20078" s="556"/>
      <c r="AD20078" s="556"/>
      <c r="AE20078" s="556"/>
      <c r="AF20078" s="556"/>
      <c r="AG20078" s="556"/>
      <c r="AH20078" s="556"/>
      <c r="AI20078" s="556"/>
      <c r="AJ20078" s="556"/>
      <c r="AK20078" s="560"/>
      <c r="AL20078" s="556"/>
      <c r="AM20078" s="556"/>
      <c r="AN20078" s="556"/>
      <c r="AO20078" s="556"/>
      <c r="AP20078" s="556"/>
      <c r="AQ20078" s="556"/>
      <c r="AR20078" s="556"/>
      <c r="AS20078" s="556"/>
      <c r="AT20078" s="561"/>
      <c r="AU20078" s="562"/>
      <c r="AV20078" s="562"/>
      <c r="AW20078" s="563"/>
      <c r="AX20078" s="563"/>
    </row>
    <row r="20079" spans="1:50" s="564" customFormat="1" x14ac:dyDescent="0.25">
      <c r="A20079" s="559"/>
      <c r="B20079" s="556"/>
      <c r="C20079" s="556"/>
      <c r="D20079" s="556"/>
      <c r="E20079" s="556"/>
      <c r="F20079" s="556"/>
      <c r="G20079" s="556"/>
      <c r="H20079" s="556"/>
      <c r="I20079" s="556"/>
      <c r="J20079" s="556"/>
      <c r="K20079" s="556"/>
      <c r="L20079" s="556"/>
      <c r="M20079" s="556"/>
      <c r="N20079" s="556"/>
      <c r="O20079" s="556"/>
      <c r="P20079" s="556"/>
      <c r="Q20079" s="557"/>
      <c r="R20079" s="557"/>
      <c r="S20079" s="557"/>
      <c r="T20079" s="557"/>
      <c r="U20079" s="556"/>
      <c r="V20079" s="556"/>
      <c r="W20079" s="556"/>
      <c r="X20079" s="556"/>
      <c r="Y20079" s="556"/>
      <c r="Z20079" s="556"/>
      <c r="AA20079" s="556"/>
      <c r="AB20079" s="556"/>
      <c r="AC20079" s="556"/>
      <c r="AD20079" s="556"/>
      <c r="AE20079" s="556"/>
      <c r="AF20079" s="556"/>
      <c r="AG20079" s="556"/>
      <c r="AH20079" s="556"/>
      <c r="AI20079" s="556"/>
      <c r="AJ20079" s="556"/>
      <c r="AK20079" s="560"/>
      <c r="AL20079" s="556"/>
      <c r="AM20079" s="556"/>
      <c r="AN20079" s="556"/>
      <c r="AO20079" s="556"/>
      <c r="AP20079" s="556"/>
      <c r="AQ20079" s="556"/>
      <c r="AR20079" s="556"/>
      <c r="AS20079" s="556"/>
      <c r="AT20079" s="561"/>
      <c r="AU20079" s="562"/>
      <c r="AV20079" s="562"/>
      <c r="AW20079" s="563"/>
      <c r="AX20079" s="563"/>
    </row>
    <row r="20080" spans="1:50" s="564" customFormat="1" x14ac:dyDescent="0.25">
      <c r="A20080" s="559"/>
      <c r="B20080" s="556"/>
      <c r="C20080" s="556"/>
      <c r="D20080" s="556"/>
      <c r="E20080" s="556"/>
      <c r="F20080" s="556"/>
      <c r="G20080" s="556"/>
      <c r="H20080" s="556"/>
      <c r="I20080" s="556"/>
      <c r="J20080" s="556"/>
      <c r="K20080" s="556"/>
      <c r="L20080" s="556"/>
      <c r="M20080" s="556"/>
      <c r="N20080" s="556"/>
      <c r="O20080" s="556"/>
      <c r="P20080" s="556"/>
      <c r="Q20080" s="557"/>
      <c r="R20080" s="557"/>
      <c r="S20080" s="557"/>
      <c r="T20080" s="557"/>
      <c r="U20080" s="556"/>
      <c r="V20080" s="556"/>
      <c r="W20080" s="556"/>
      <c r="X20080" s="556"/>
      <c r="Y20080" s="556"/>
      <c r="Z20080" s="556"/>
      <c r="AA20080" s="556"/>
      <c r="AB20080" s="556"/>
      <c r="AC20080" s="556"/>
      <c r="AD20080" s="556"/>
      <c r="AE20080" s="556"/>
      <c r="AF20080" s="556"/>
      <c r="AG20080" s="556"/>
      <c r="AH20080" s="556"/>
      <c r="AI20080" s="556"/>
      <c r="AJ20080" s="556"/>
      <c r="AK20080" s="560"/>
      <c r="AL20080" s="556"/>
      <c r="AM20080" s="556"/>
      <c r="AN20080" s="556"/>
      <c r="AO20080" s="556"/>
      <c r="AP20080" s="556"/>
      <c r="AQ20080" s="556"/>
      <c r="AR20080" s="556"/>
      <c r="AS20080" s="556"/>
      <c r="AT20080" s="561"/>
      <c r="AU20080" s="562"/>
      <c r="AV20080" s="562"/>
      <c r="AW20080" s="563"/>
      <c r="AX20080" s="563"/>
    </row>
    <row r="20081" spans="1:50" s="564" customFormat="1" x14ac:dyDescent="0.25">
      <c r="A20081" s="559"/>
      <c r="B20081" s="556"/>
      <c r="C20081" s="556"/>
      <c r="D20081" s="556"/>
      <c r="E20081" s="556"/>
      <c r="F20081" s="556"/>
      <c r="G20081" s="556"/>
      <c r="H20081" s="556"/>
      <c r="I20081" s="556"/>
      <c r="J20081" s="556"/>
      <c r="K20081" s="556"/>
      <c r="L20081" s="556"/>
      <c r="M20081" s="556"/>
      <c r="N20081" s="556"/>
      <c r="O20081" s="556"/>
      <c r="P20081" s="556"/>
      <c r="Q20081" s="557"/>
      <c r="R20081" s="557"/>
      <c r="S20081" s="557"/>
      <c r="T20081" s="557"/>
      <c r="U20081" s="556"/>
      <c r="V20081" s="556"/>
      <c r="W20081" s="556"/>
      <c r="X20081" s="556"/>
      <c r="Y20081" s="556"/>
      <c r="Z20081" s="556"/>
      <c r="AA20081" s="556"/>
      <c r="AB20081" s="556"/>
      <c r="AC20081" s="556"/>
      <c r="AD20081" s="556"/>
      <c r="AE20081" s="556"/>
      <c r="AF20081" s="556"/>
      <c r="AG20081" s="556"/>
      <c r="AH20081" s="556"/>
      <c r="AI20081" s="556"/>
      <c r="AJ20081" s="556"/>
      <c r="AK20081" s="560"/>
      <c r="AL20081" s="556"/>
      <c r="AM20081" s="556"/>
      <c r="AN20081" s="556"/>
      <c r="AO20081" s="556"/>
      <c r="AP20081" s="556"/>
      <c r="AQ20081" s="556"/>
      <c r="AR20081" s="556"/>
      <c r="AS20081" s="556"/>
      <c r="AT20081" s="561"/>
      <c r="AU20081" s="562"/>
      <c r="AV20081" s="562"/>
      <c r="AW20081" s="563"/>
      <c r="AX20081" s="563"/>
    </row>
    <row r="20082" spans="1:50" s="564" customFormat="1" x14ac:dyDescent="0.25">
      <c r="A20082" s="559"/>
      <c r="B20082" s="556"/>
      <c r="C20082" s="556"/>
      <c r="D20082" s="556"/>
      <c r="E20082" s="556"/>
      <c r="F20082" s="556"/>
      <c r="G20082" s="556"/>
      <c r="H20082" s="556"/>
      <c r="I20082" s="556"/>
      <c r="J20082" s="556"/>
      <c r="K20082" s="556"/>
      <c r="L20082" s="556"/>
      <c r="M20082" s="556"/>
      <c r="N20082" s="556"/>
      <c r="O20082" s="556"/>
      <c r="P20082" s="556"/>
      <c r="Q20082" s="557"/>
      <c r="R20082" s="557"/>
      <c r="S20082" s="557"/>
      <c r="T20082" s="557"/>
      <c r="U20082" s="556"/>
      <c r="V20082" s="556"/>
      <c r="W20082" s="556"/>
      <c r="X20082" s="556"/>
      <c r="Y20082" s="556"/>
      <c r="Z20082" s="556"/>
      <c r="AA20082" s="556"/>
      <c r="AB20082" s="556"/>
      <c r="AC20082" s="556"/>
      <c r="AD20082" s="556"/>
      <c r="AE20082" s="556"/>
      <c r="AF20082" s="556"/>
      <c r="AG20082" s="556"/>
      <c r="AH20082" s="556"/>
      <c r="AI20082" s="556"/>
      <c r="AJ20082" s="556"/>
      <c r="AK20082" s="560"/>
      <c r="AL20082" s="556"/>
      <c r="AM20082" s="556"/>
      <c r="AN20082" s="556"/>
      <c r="AO20082" s="556"/>
      <c r="AP20082" s="556"/>
      <c r="AQ20082" s="556"/>
      <c r="AR20082" s="556"/>
      <c r="AS20082" s="556"/>
      <c r="AT20082" s="561"/>
      <c r="AU20082" s="562"/>
      <c r="AV20082" s="562"/>
      <c r="AW20082" s="563"/>
      <c r="AX20082" s="563"/>
    </row>
    <row r="20083" spans="1:50" s="564" customFormat="1" x14ac:dyDescent="0.25">
      <c r="A20083" s="559"/>
      <c r="B20083" s="556"/>
      <c r="C20083" s="556"/>
      <c r="D20083" s="556"/>
      <c r="E20083" s="556"/>
      <c r="F20083" s="556"/>
      <c r="G20083" s="556"/>
      <c r="H20083" s="556"/>
      <c r="I20083" s="556"/>
      <c r="J20083" s="556"/>
      <c r="K20083" s="556"/>
      <c r="L20083" s="556"/>
      <c r="M20083" s="556"/>
      <c r="N20083" s="556"/>
      <c r="O20083" s="556"/>
      <c r="P20083" s="556"/>
      <c r="Q20083" s="557"/>
      <c r="R20083" s="557"/>
      <c r="S20083" s="557"/>
      <c r="T20083" s="557"/>
      <c r="U20083" s="556"/>
      <c r="V20083" s="556"/>
      <c r="W20083" s="556"/>
      <c r="X20083" s="556"/>
      <c r="Y20083" s="556"/>
      <c r="Z20083" s="556"/>
      <c r="AA20083" s="556"/>
      <c r="AB20083" s="556"/>
      <c r="AC20083" s="556"/>
      <c r="AD20083" s="556"/>
      <c r="AE20083" s="556"/>
      <c r="AF20083" s="556"/>
      <c r="AG20083" s="556"/>
      <c r="AH20083" s="556"/>
      <c r="AI20083" s="556"/>
      <c r="AJ20083" s="556"/>
      <c r="AK20083" s="560"/>
      <c r="AL20083" s="556"/>
      <c r="AM20083" s="556"/>
      <c r="AN20083" s="556"/>
      <c r="AO20083" s="556"/>
      <c r="AP20083" s="556"/>
      <c r="AQ20083" s="556"/>
      <c r="AR20083" s="556"/>
      <c r="AS20083" s="556"/>
      <c r="AT20083" s="561"/>
      <c r="AU20083" s="562"/>
      <c r="AV20083" s="562"/>
      <c r="AW20083" s="563"/>
      <c r="AX20083" s="563"/>
    </row>
    <row r="20084" spans="1:50" s="564" customFormat="1" x14ac:dyDescent="0.25">
      <c r="A20084" s="559"/>
      <c r="B20084" s="556"/>
      <c r="C20084" s="556"/>
      <c r="D20084" s="556"/>
      <c r="E20084" s="556"/>
      <c r="F20084" s="556"/>
      <c r="G20084" s="556"/>
      <c r="H20084" s="556"/>
      <c r="I20084" s="556"/>
      <c r="J20084" s="556"/>
      <c r="K20084" s="556"/>
      <c r="L20084" s="556"/>
      <c r="M20084" s="556"/>
      <c r="N20084" s="556"/>
      <c r="O20084" s="556"/>
      <c r="P20084" s="556"/>
      <c r="Q20084" s="557"/>
      <c r="R20084" s="557"/>
      <c r="S20084" s="557"/>
      <c r="T20084" s="557"/>
      <c r="U20084" s="556"/>
      <c r="V20084" s="556"/>
      <c r="W20084" s="556"/>
      <c r="X20084" s="556"/>
      <c r="Y20084" s="556"/>
      <c r="Z20084" s="556"/>
      <c r="AA20084" s="556"/>
      <c r="AB20084" s="556"/>
      <c r="AC20084" s="556"/>
      <c r="AD20084" s="556"/>
      <c r="AE20084" s="556"/>
      <c r="AF20084" s="556"/>
      <c r="AG20084" s="556"/>
      <c r="AH20084" s="556"/>
      <c r="AI20084" s="556"/>
      <c r="AJ20084" s="556"/>
      <c r="AK20084" s="560"/>
      <c r="AL20084" s="556"/>
      <c r="AM20084" s="556"/>
      <c r="AN20084" s="556"/>
      <c r="AO20084" s="556"/>
      <c r="AP20084" s="556"/>
      <c r="AQ20084" s="556"/>
      <c r="AR20084" s="556"/>
      <c r="AS20084" s="556"/>
      <c r="AT20084" s="561"/>
      <c r="AU20084" s="562"/>
      <c r="AV20084" s="562"/>
      <c r="AW20084" s="563"/>
      <c r="AX20084" s="563"/>
    </row>
    <row r="20085" spans="1:50" s="564" customFormat="1" x14ac:dyDescent="0.25">
      <c r="A20085" s="559"/>
      <c r="B20085" s="556"/>
      <c r="C20085" s="556"/>
      <c r="D20085" s="556"/>
      <c r="E20085" s="556"/>
      <c r="F20085" s="556"/>
      <c r="G20085" s="556"/>
      <c r="H20085" s="556"/>
      <c r="I20085" s="556"/>
      <c r="J20085" s="556"/>
      <c r="K20085" s="556"/>
      <c r="L20085" s="556"/>
      <c r="M20085" s="556"/>
      <c r="N20085" s="556"/>
      <c r="O20085" s="556"/>
      <c r="P20085" s="556"/>
      <c r="Q20085" s="557"/>
      <c r="R20085" s="557"/>
      <c r="S20085" s="557"/>
      <c r="T20085" s="557"/>
      <c r="U20085" s="556"/>
      <c r="V20085" s="556"/>
      <c r="W20085" s="556"/>
      <c r="X20085" s="556"/>
      <c r="Y20085" s="556"/>
      <c r="Z20085" s="556"/>
      <c r="AA20085" s="556"/>
      <c r="AB20085" s="556"/>
      <c r="AC20085" s="556"/>
      <c r="AD20085" s="556"/>
      <c r="AE20085" s="556"/>
      <c r="AF20085" s="556"/>
      <c r="AG20085" s="556"/>
      <c r="AH20085" s="556"/>
      <c r="AI20085" s="556"/>
      <c r="AJ20085" s="556"/>
      <c r="AK20085" s="560"/>
      <c r="AL20085" s="556"/>
      <c r="AM20085" s="556"/>
      <c r="AN20085" s="556"/>
      <c r="AO20085" s="556"/>
      <c r="AP20085" s="556"/>
      <c r="AQ20085" s="556"/>
      <c r="AR20085" s="556"/>
      <c r="AS20085" s="556"/>
      <c r="AT20085" s="561"/>
      <c r="AU20085" s="562"/>
      <c r="AV20085" s="562"/>
      <c r="AW20085" s="563"/>
      <c r="AX20085" s="563"/>
    </row>
    <row r="20086" spans="1:50" s="564" customFormat="1" x14ac:dyDescent="0.25">
      <c r="A20086" s="559"/>
      <c r="B20086" s="556"/>
      <c r="C20086" s="556"/>
      <c r="D20086" s="556"/>
      <c r="E20086" s="556"/>
      <c r="F20086" s="556"/>
      <c r="G20086" s="556"/>
      <c r="H20086" s="556"/>
      <c r="I20086" s="556"/>
      <c r="J20086" s="556"/>
      <c r="K20086" s="556"/>
      <c r="L20086" s="556"/>
      <c r="M20086" s="556"/>
      <c r="N20086" s="556"/>
      <c r="O20086" s="556"/>
      <c r="P20086" s="556"/>
      <c r="Q20086" s="557"/>
      <c r="R20086" s="557"/>
      <c r="S20086" s="557"/>
      <c r="T20086" s="557"/>
      <c r="U20086" s="556"/>
      <c r="V20086" s="556"/>
      <c r="W20086" s="556"/>
      <c r="X20086" s="556"/>
      <c r="Y20086" s="556"/>
      <c r="Z20086" s="556"/>
      <c r="AA20086" s="556"/>
      <c r="AB20086" s="556"/>
      <c r="AC20086" s="556"/>
      <c r="AD20086" s="556"/>
      <c r="AE20086" s="556"/>
      <c r="AF20086" s="556"/>
      <c r="AG20086" s="556"/>
      <c r="AH20086" s="556"/>
      <c r="AI20086" s="556"/>
      <c r="AJ20086" s="556"/>
      <c r="AK20086" s="560"/>
      <c r="AL20086" s="556"/>
      <c r="AM20086" s="556"/>
      <c r="AN20086" s="556"/>
      <c r="AO20086" s="556"/>
      <c r="AP20086" s="556"/>
      <c r="AQ20086" s="556"/>
      <c r="AR20086" s="556"/>
      <c r="AS20086" s="556"/>
      <c r="AT20086" s="561"/>
      <c r="AU20086" s="562"/>
      <c r="AV20086" s="562"/>
      <c r="AW20086" s="563"/>
      <c r="AX20086" s="563"/>
    </row>
    <row r="20087" spans="1:50" s="564" customFormat="1" x14ac:dyDescent="0.25">
      <c r="A20087" s="559"/>
      <c r="B20087" s="556"/>
      <c r="C20087" s="556"/>
      <c r="D20087" s="556"/>
      <c r="E20087" s="556"/>
      <c r="F20087" s="556"/>
      <c r="G20087" s="556"/>
      <c r="H20087" s="556"/>
      <c r="I20087" s="556"/>
      <c r="J20087" s="556"/>
      <c r="K20087" s="556"/>
      <c r="L20087" s="556"/>
      <c r="M20087" s="556"/>
      <c r="N20087" s="556"/>
      <c r="O20087" s="556"/>
      <c r="P20087" s="556"/>
      <c r="Q20087" s="557"/>
      <c r="R20087" s="557"/>
      <c r="S20087" s="557"/>
      <c r="T20087" s="557"/>
      <c r="U20087" s="556"/>
      <c r="V20087" s="556"/>
      <c r="W20087" s="556"/>
      <c r="X20087" s="556"/>
      <c r="Y20087" s="556"/>
      <c r="Z20087" s="556"/>
      <c r="AA20087" s="556"/>
      <c r="AB20087" s="556"/>
      <c r="AC20087" s="556"/>
      <c r="AD20087" s="556"/>
      <c r="AE20087" s="556"/>
      <c r="AF20087" s="556"/>
      <c r="AG20087" s="556"/>
      <c r="AH20087" s="556"/>
      <c r="AI20087" s="556"/>
      <c r="AJ20087" s="556"/>
      <c r="AK20087" s="560"/>
      <c r="AL20087" s="556"/>
      <c r="AM20087" s="556"/>
      <c r="AN20087" s="556"/>
      <c r="AO20087" s="556"/>
      <c r="AP20087" s="556"/>
      <c r="AQ20087" s="556"/>
      <c r="AR20087" s="556"/>
      <c r="AS20087" s="556"/>
      <c r="AT20087" s="561"/>
      <c r="AU20087" s="562"/>
      <c r="AV20087" s="562"/>
      <c r="AW20087" s="563"/>
      <c r="AX20087" s="563"/>
    </row>
    <row r="20088" spans="1:50" s="564" customFormat="1" x14ac:dyDescent="0.25">
      <c r="A20088" s="559"/>
      <c r="B20088" s="556"/>
      <c r="C20088" s="556"/>
      <c r="D20088" s="556"/>
      <c r="E20088" s="556"/>
      <c r="F20088" s="556"/>
      <c r="G20088" s="556"/>
      <c r="H20088" s="556"/>
      <c r="I20088" s="556"/>
      <c r="J20088" s="556"/>
      <c r="K20088" s="556"/>
      <c r="L20088" s="556"/>
      <c r="M20088" s="556"/>
      <c r="N20088" s="556"/>
      <c r="O20088" s="556"/>
      <c r="P20088" s="556"/>
      <c r="Q20088" s="557"/>
      <c r="R20088" s="557"/>
      <c r="S20088" s="557"/>
      <c r="T20088" s="557"/>
      <c r="U20088" s="556"/>
      <c r="V20088" s="556"/>
      <c r="W20088" s="556"/>
      <c r="X20088" s="556"/>
      <c r="Y20088" s="556"/>
      <c r="Z20088" s="556"/>
      <c r="AA20088" s="556"/>
      <c r="AB20088" s="556"/>
      <c r="AC20088" s="556"/>
      <c r="AD20088" s="556"/>
      <c r="AE20088" s="556"/>
      <c r="AF20088" s="556"/>
      <c r="AG20088" s="556"/>
      <c r="AH20088" s="556"/>
      <c r="AI20088" s="556"/>
      <c r="AJ20088" s="556"/>
      <c r="AK20088" s="560"/>
      <c r="AL20088" s="556"/>
      <c r="AM20088" s="556"/>
      <c r="AN20088" s="556"/>
      <c r="AO20088" s="556"/>
      <c r="AP20088" s="556"/>
      <c r="AQ20088" s="556"/>
      <c r="AR20088" s="556"/>
      <c r="AS20088" s="556"/>
      <c r="AT20088" s="561"/>
      <c r="AU20088" s="562"/>
      <c r="AV20088" s="562"/>
      <c r="AW20088" s="563"/>
      <c r="AX20088" s="563"/>
    </row>
    <row r="20089" spans="1:50" s="564" customFormat="1" x14ac:dyDescent="0.25">
      <c r="A20089" s="559"/>
      <c r="B20089" s="556"/>
      <c r="C20089" s="556"/>
      <c r="D20089" s="556"/>
      <c r="E20089" s="556"/>
      <c r="F20089" s="556"/>
      <c r="G20089" s="556"/>
      <c r="H20089" s="556"/>
      <c r="I20089" s="556"/>
      <c r="J20089" s="556"/>
      <c r="K20089" s="556"/>
      <c r="L20089" s="556"/>
      <c r="M20089" s="556"/>
      <c r="N20089" s="556"/>
      <c r="O20089" s="556"/>
      <c r="P20089" s="556"/>
      <c r="Q20089" s="557"/>
      <c r="R20089" s="557"/>
      <c r="S20089" s="557"/>
      <c r="T20089" s="557"/>
      <c r="U20089" s="556"/>
      <c r="V20089" s="556"/>
      <c r="W20089" s="556"/>
      <c r="X20089" s="556"/>
      <c r="Y20089" s="556"/>
      <c r="Z20089" s="556"/>
      <c r="AA20089" s="556"/>
      <c r="AB20089" s="556"/>
      <c r="AC20089" s="556"/>
      <c r="AD20089" s="556"/>
      <c r="AE20089" s="556"/>
      <c r="AF20089" s="556"/>
      <c r="AG20089" s="556"/>
      <c r="AH20089" s="556"/>
      <c r="AI20089" s="556"/>
      <c r="AJ20089" s="556"/>
      <c r="AK20089" s="560"/>
      <c r="AL20089" s="556"/>
      <c r="AM20089" s="556"/>
      <c r="AN20089" s="556"/>
      <c r="AO20089" s="556"/>
      <c r="AP20089" s="556"/>
      <c r="AQ20089" s="556"/>
      <c r="AR20089" s="556"/>
      <c r="AS20089" s="556"/>
      <c r="AT20089" s="561"/>
      <c r="AU20089" s="562"/>
      <c r="AV20089" s="562"/>
      <c r="AW20089" s="563"/>
      <c r="AX20089" s="563"/>
    </row>
    <row r="20090" spans="1:50" s="564" customFormat="1" x14ac:dyDescent="0.25">
      <c r="A20090" s="559"/>
      <c r="B20090" s="556"/>
      <c r="C20090" s="556"/>
      <c r="D20090" s="556"/>
      <c r="E20090" s="556"/>
      <c r="F20090" s="556"/>
      <c r="G20090" s="556"/>
      <c r="H20090" s="556"/>
      <c r="I20090" s="556"/>
      <c r="J20090" s="556"/>
      <c r="K20090" s="556"/>
      <c r="L20090" s="556"/>
      <c r="M20090" s="556"/>
      <c r="N20090" s="556"/>
      <c r="O20090" s="556"/>
      <c r="P20090" s="556"/>
      <c r="Q20090" s="557"/>
      <c r="R20090" s="557"/>
      <c r="S20090" s="557"/>
      <c r="T20090" s="557"/>
      <c r="U20090" s="556"/>
      <c r="V20090" s="556"/>
      <c r="W20090" s="556"/>
      <c r="X20090" s="556"/>
      <c r="Y20090" s="556"/>
      <c r="Z20090" s="556"/>
      <c r="AA20090" s="556"/>
      <c r="AB20090" s="556"/>
      <c r="AC20090" s="556"/>
      <c r="AD20090" s="556"/>
      <c r="AE20090" s="556"/>
      <c r="AF20090" s="556"/>
      <c r="AG20090" s="556"/>
      <c r="AH20090" s="556"/>
      <c r="AI20090" s="556"/>
      <c r="AJ20090" s="556"/>
      <c r="AK20090" s="560"/>
      <c r="AL20090" s="556"/>
      <c r="AM20090" s="556"/>
      <c r="AN20090" s="556"/>
      <c r="AO20090" s="556"/>
      <c r="AP20090" s="556"/>
      <c r="AQ20090" s="556"/>
      <c r="AR20090" s="556"/>
      <c r="AS20090" s="556"/>
      <c r="AT20090" s="561"/>
      <c r="AU20090" s="562"/>
      <c r="AV20090" s="562"/>
      <c r="AW20090" s="563"/>
      <c r="AX20090" s="563"/>
    </row>
    <row r="20091" spans="1:50" s="564" customFormat="1" x14ac:dyDescent="0.25">
      <c r="A20091" s="559"/>
      <c r="B20091" s="556"/>
      <c r="C20091" s="556"/>
      <c r="D20091" s="556"/>
      <c r="E20091" s="556"/>
      <c r="F20091" s="556"/>
      <c r="G20091" s="556"/>
      <c r="H20091" s="556"/>
      <c r="I20091" s="556"/>
      <c r="J20091" s="556"/>
      <c r="K20091" s="556"/>
      <c r="L20091" s="556"/>
      <c r="M20091" s="556"/>
      <c r="N20091" s="556"/>
      <c r="O20091" s="556"/>
      <c r="P20091" s="556"/>
      <c r="Q20091" s="557"/>
      <c r="R20091" s="557"/>
      <c r="S20091" s="557"/>
      <c r="T20091" s="557"/>
      <c r="U20091" s="556"/>
      <c r="V20091" s="556"/>
      <c r="W20091" s="556"/>
      <c r="X20091" s="556"/>
      <c r="Y20091" s="556"/>
      <c r="Z20091" s="556"/>
      <c r="AA20091" s="556"/>
      <c r="AB20091" s="556"/>
      <c r="AC20091" s="556"/>
      <c r="AD20091" s="556"/>
      <c r="AE20091" s="556"/>
      <c r="AF20091" s="556"/>
      <c r="AG20091" s="556"/>
      <c r="AH20091" s="556"/>
      <c r="AI20091" s="556"/>
      <c r="AJ20091" s="556"/>
      <c r="AK20091" s="560"/>
      <c r="AL20091" s="556"/>
      <c r="AM20091" s="556"/>
      <c r="AN20091" s="556"/>
      <c r="AO20091" s="556"/>
      <c r="AP20091" s="556"/>
      <c r="AQ20091" s="556"/>
      <c r="AR20091" s="556"/>
      <c r="AS20091" s="556"/>
      <c r="AT20091" s="561"/>
      <c r="AU20091" s="562"/>
      <c r="AV20091" s="562"/>
      <c r="AW20091" s="563"/>
      <c r="AX20091" s="563"/>
    </row>
    <row r="20092" spans="1:50" s="564" customFormat="1" x14ac:dyDescent="0.25">
      <c r="A20092" s="559"/>
      <c r="B20092" s="556"/>
      <c r="C20092" s="556"/>
      <c r="D20092" s="556"/>
      <c r="E20092" s="556"/>
      <c r="F20092" s="556"/>
      <c r="G20092" s="556"/>
      <c r="H20092" s="556"/>
      <c r="I20092" s="556"/>
      <c r="J20092" s="556"/>
      <c r="K20092" s="556"/>
      <c r="L20092" s="556"/>
      <c r="M20092" s="556"/>
      <c r="N20092" s="556"/>
      <c r="O20092" s="556"/>
      <c r="P20092" s="556"/>
      <c r="Q20092" s="557"/>
      <c r="R20092" s="557"/>
      <c r="S20092" s="557"/>
      <c r="T20092" s="557"/>
      <c r="U20092" s="556"/>
      <c r="V20092" s="556"/>
      <c r="W20092" s="556"/>
      <c r="X20092" s="556"/>
      <c r="Y20092" s="556"/>
      <c r="Z20092" s="556"/>
      <c r="AA20092" s="556"/>
      <c r="AB20092" s="556"/>
      <c r="AC20092" s="556"/>
      <c r="AD20092" s="556"/>
      <c r="AE20092" s="556"/>
      <c r="AF20092" s="556"/>
      <c r="AG20092" s="556"/>
      <c r="AH20092" s="556"/>
      <c r="AI20092" s="556"/>
      <c r="AJ20092" s="556"/>
      <c r="AK20092" s="560"/>
      <c r="AL20092" s="556"/>
      <c r="AM20092" s="556"/>
      <c r="AN20092" s="556"/>
      <c r="AO20092" s="556"/>
      <c r="AP20092" s="556"/>
      <c r="AQ20092" s="556"/>
      <c r="AR20092" s="556"/>
      <c r="AS20092" s="556"/>
      <c r="AT20092" s="561"/>
      <c r="AU20092" s="562"/>
      <c r="AV20092" s="562"/>
      <c r="AW20092" s="563"/>
      <c r="AX20092" s="563"/>
    </row>
    <row r="20093" spans="1:50" s="564" customFormat="1" x14ac:dyDescent="0.25">
      <c r="A20093" s="559"/>
      <c r="B20093" s="556"/>
      <c r="C20093" s="556"/>
      <c r="D20093" s="556"/>
      <c r="E20093" s="556"/>
      <c r="F20093" s="556"/>
      <c r="G20093" s="556"/>
      <c r="H20093" s="556"/>
      <c r="I20093" s="556"/>
      <c r="J20093" s="556"/>
      <c r="K20093" s="556"/>
      <c r="L20093" s="556"/>
      <c r="M20093" s="556"/>
      <c r="N20093" s="556"/>
      <c r="O20093" s="556"/>
      <c r="P20093" s="556"/>
      <c r="Q20093" s="557"/>
      <c r="R20093" s="557"/>
      <c r="S20093" s="557"/>
      <c r="T20093" s="557"/>
      <c r="U20093" s="556"/>
      <c r="V20093" s="556"/>
      <c r="W20093" s="556"/>
      <c r="X20093" s="556"/>
      <c r="Y20093" s="556"/>
      <c r="Z20093" s="556"/>
      <c r="AA20093" s="556"/>
      <c r="AB20093" s="556"/>
      <c r="AC20093" s="556"/>
      <c r="AD20093" s="556"/>
      <c r="AE20093" s="556"/>
      <c r="AF20093" s="556"/>
      <c r="AG20093" s="556"/>
      <c r="AH20093" s="556"/>
      <c r="AI20093" s="556"/>
      <c r="AJ20093" s="556"/>
      <c r="AK20093" s="560"/>
      <c r="AL20093" s="556"/>
      <c r="AM20093" s="556"/>
      <c r="AN20093" s="556"/>
      <c r="AO20093" s="556"/>
      <c r="AP20093" s="556"/>
      <c r="AQ20093" s="556"/>
      <c r="AR20093" s="556"/>
      <c r="AS20093" s="556"/>
      <c r="AT20093" s="561"/>
      <c r="AU20093" s="562"/>
      <c r="AV20093" s="562"/>
      <c r="AW20093" s="563"/>
      <c r="AX20093" s="563"/>
    </row>
    <row r="20094" spans="1:50" s="564" customFormat="1" x14ac:dyDescent="0.25">
      <c r="A20094" s="559"/>
      <c r="B20094" s="556"/>
      <c r="C20094" s="556"/>
      <c r="D20094" s="556"/>
      <c r="E20094" s="556"/>
      <c r="F20094" s="556"/>
      <c r="G20094" s="556"/>
      <c r="H20094" s="556"/>
      <c r="I20094" s="556"/>
      <c r="J20094" s="556"/>
      <c r="K20094" s="556"/>
      <c r="L20094" s="556"/>
      <c r="M20094" s="556"/>
      <c r="N20094" s="556"/>
      <c r="O20094" s="556"/>
      <c r="P20094" s="556"/>
      <c r="Q20094" s="557"/>
      <c r="R20094" s="557"/>
      <c r="S20094" s="557"/>
      <c r="T20094" s="557"/>
      <c r="U20094" s="556"/>
      <c r="V20094" s="556"/>
      <c r="W20094" s="556"/>
      <c r="X20094" s="556"/>
      <c r="Y20094" s="556"/>
      <c r="Z20094" s="556"/>
      <c r="AA20094" s="556"/>
      <c r="AB20094" s="556"/>
      <c r="AC20094" s="556"/>
      <c r="AD20094" s="556"/>
      <c r="AE20094" s="556"/>
      <c r="AF20094" s="556"/>
      <c r="AG20094" s="556"/>
      <c r="AH20094" s="556"/>
      <c r="AI20094" s="556"/>
      <c r="AJ20094" s="556"/>
      <c r="AK20094" s="560"/>
      <c r="AL20094" s="556"/>
      <c r="AM20094" s="556"/>
      <c r="AN20094" s="556"/>
      <c r="AO20094" s="556"/>
      <c r="AP20094" s="556"/>
      <c r="AQ20094" s="556"/>
      <c r="AR20094" s="556"/>
      <c r="AS20094" s="556"/>
      <c r="AT20094" s="561"/>
      <c r="AU20094" s="562"/>
      <c r="AV20094" s="562"/>
      <c r="AW20094" s="563"/>
      <c r="AX20094" s="563"/>
    </row>
    <row r="20095" spans="1:50" s="564" customFormat="1" x14ac:dyDescent="0.25">
      <c r="A20095" s="559"/>
      <c r="B20095" s="556"/>
      <c r="C20095" s="556"/>
      <c r="D20095" s="556"/>
      <c r="E20095" s="556"/>
      <c r="F20095" s="556"/>
      <c r="G20095" s="556"/>
      <c r="H20095" s="556"/>
      <c r="I20095" s="556"/>
      <c r="J20095" s="556"/>
      <c r="K20095" s="556"/>
      <c r="L20095" s="556"/>
      <c r="M20095" s="556"/>
      <c r="N20095" s="556"/>
      <c r="O20095" s="556"/>
      <c r="P20095" s="556"/>
      <c r="Q20095" s="557"/>
      <c r="R20095" s="557"/>
      <c r="S20095" s="557"/>
      <c r="T20095" s="557"/>
      <c r="U20095" s="556"/>
      <c r="V20095" s="556"/>
      <c r="W20095" s="556"/>
      <c r="X20095" s="556"/>
      <c r="Y20095" s="556"/>
      <c r="Z20095" s="556"/>
      <c r="AA20095" s="556"/>
      <c r="AB20095" s="556"/>
      <c r="AC20095" s="556"/>
      <c r="AD20095" s="556"/>
      <c r="AE20095" s="556"/>
      <c r="AF20095" s="556"/>
      <c r="AG20095" s="556"/>
      <c r="AH20095" s="556"/>
      <c r="AI20095" s="556"/>
      <c r="AJ20095" s="556"/>
      <c r="AK20095" s="560"/>
      <c r="AL20095" s="556"/>
      <c r="AM20095" s="556"/>
      <c r="AN20095" s="556"/>
      <c r="AO20095" s="556"/>
      <c r="AP20095" s="556"/>
      <c r="AQ20095" s="556"/>
      <c r="AR20095" s="556"/>
      <c r="AS20095" s="556"/>
      <c r="AT20095" s="561"/>
      <c r="AU20095" s="562"/>
      <c r="AV20095" s="562"/>
      <c r="AW20095" s="563"/>
      <c r="AX20095" s="563"/>
    </row>
    <row r="20096" spans="1:50" s="564" customFormat="1" x14ac:dyDescent="0.25">
      <c r="A20096" s="559"/>
      <c r="B20096" s="556"/>
      <c r="C20096" s="556"/>
      <c r="D20096" s="556"/>
      <c r="E20096" s="556"/>
      <c r="F20096" s="556"/>
      <c r="G20096" s="556"/>
      <c r="H20096" s="556"/>
      <c r="I20096" s="556"/>
      <c r="J20096" s="556"/>
      <c r="K20096" s="556"/>
      <c r="L20096" s="556"/>
      <c r="M20096" s="556"/>
      <c r="N20096" s="556"/>
      <c r="O20096" s="556"/>
      <c r="P20096" s="556"/>
      <c r="Q20096" s="557"/>
      <c r="R20096" s="557"/>
      <c r="S20096" s="557"/>
      <c r="T20096" s="557"/>
      <c r="U20096" s="556"/>
      <c r="V20096" s="556"/>
      <c r="W20096" s="556"/>
      <c r="X20096" s="556"/>
      <c r="Y20096" s="556"/>
      <c r="Z20096" s="556"/>
      <c r="AA20096" s="556"/>
      <c r="AB20096" s="556"/>
      <c r="AC20096" s="556"/>
      <c r="AD20096" s="556"/>
      <c r="AE20096" s="556"/>
      <c r="AF20096" s="556"/>
      <c r="AG20096" s="556"/>
      <c r="AH20096" s="556"/>
      <c r="AI20096" s="556"/>
      <c r="AJ20096" s="556"/>
      <c r="AK20096" s="560"/>
      <c r="AL20096" s="556"/>
      <c r="AM20096" s="556"/>
      <c r="AN20096" s="556"/>
      <c r="AO20096" s="556"/>
      <c r="AP20096" s="556"/>
      <c r="AQ20096" s="556"/>
      <c r="AR20096" s="556"/>
      <c r="AS20096" s="556"/>
      <c r="AT20096" s="561"/>
      <c r="AU20096" s="562"/>
      <c r="AV20096" s="562"/>
      <c r="AW20096" s="563"/>
      <c r="AX20096" s="563"/>
    </row>
    <row r="20097" spans="1:50" s="564" customFormat="1" x14ac:dyDescent="0.25">
      <c r="A20097" s="559"/>
      <c r="B20097" s="556"/>
      <c r="C20097" s="556"/>
      <c r="D20097" s="556"/>
      <c r="E20097" s="556"/>
      <c r="F20097" s="556"/>
      <c r="G20097" s="556"/>
      <c r="H20097" s="556"/>
      <c r="I20097" s="556"/>
      <c r="J20097" s="556"/>
      <c r="K20097" s="556"/>
      <c r="L20097" s="556"/>
      <c r="M20097" s="556"/>
      <c r="N20097" s="556"/>
      <c r="O20097" s="556"/>
      <c r="P20097" s="556"/>
      <c r="Q20097" s="557"/>
      <c r="R20097" s="557"/>
      <c r="S20097" s="557"/>
      <c r="T20097" s="557"/>
      <c r="U20097" s="556"/>
      <c r="V20097" s="556"/>
      <c r="W20097" s="556"/>
      <c r="X20097" s="556"/>
      <c r="Y20097" s="556"/>
      <c r="Z20097" s="556"/>
      <c r="AA20097" s="556"/>
      <c r="AB20097" s="556"/>
      <c r="AC20097" s="556"/>
      <c r="AD20097" s="556"/>
      <c r="AE20097" s="556"/>
      <c r="AF20097" s="556"/>
      <c r="AG20097" s="556"/>
      <c r="AH20097" s="556"/>
      <c r="AI20097" s="556"/>
      <c r="AJ20097" s="556"/>
      <c r="AK20097" s="560"/>
      <c r="AL20097" s="556"/>
      <c r="AM20097" s="556"/>
      <c r="AN20097" s="556"/>
      <c r="AO20097" s="556"/>
      <c r="AP20097" s="556"/>
      <c r="AQ20097" s="556"/>
      <c r="AR20097" s="556"/>
      <c r="AS20097" s="556"/>
      <c r="AT20097" s="561"/>
      <c r="AU20097" s="562"/>
      <c r="AV20097" s="562"/>
      <c r="AW20097" s="563"/>
      <c r="AX20097" s="563"/>
    </row>
    <row r="20098" spans="1:50" s="564" customFormat="1" x14ac:dyDescent="0.25">
      <c r="A20098" s="559"/>
      <c r="B20098" s="556"/>
      <c r="C20098" s="556"/>
      <c r="D20098" s="556"/>
      <c r="E20098" s="556"/>
      <c r="F20098" s="556"/>
      <c r="G20098" s="556"/>
      <c r="H20098" s="556"/>
      <c r="I20098" s="556"/>
      <c r="J20098" s="556"/>
      <c r="K20098" s="556"/>
      <c r="L20098" s="556"/>
      <c r="M20098" s="556"/>
      <c r="N20098" s="556"/>
      <c r="O20098" s="556"/>
      <c r="P20098" s="556"/>
      <c r="Q20098" s="557"/>
      <c r="R20098" s="557"/>
      <c r="S20098" s="557"/>
      <c r="T20098" s="557"/>
      <c r="U20098" s="556"/>
      <c r="V20098" s="556"/>
      <c r="W20098" s="556"/>
      <c r="X20098" s="556"/>
      <c r="Y20098" s="556"/>
      <c r="Z20098" s="556"/>
      <c r="AA20098" s="556"/>
      <c r="AB20098" s="556"/>
      <c r="AC20098" s="556"/>
      <c r="AD20098" s="556"/>
      <c r="AE20098" s="556"/>
      <c r="AF20098" s="556"/>
      <c r="AG20098" s="556"/>
      <c r="AH20098" s="556"/>
      <c r="AI20098" s="556"/>
      <c r="AJ20098" s="556"/>
      <c r="AK20098" s="560"/>
      <c r="AL20098" s="556"/>
      <c r="AM20098" s="556"/>
      <c r="AN20098" s="556"/>
      <c r="AO20098" s="556"/>
      <c r="AP20098" s="556"/>
      <c r="AQ20098" s="556"/>
      <c r="AR20098" s="556"/>
      <c r="AS20098" s="556"/>
      <c r="AT20098" s="561"/>
      <c r="AU20098" s="562"/>
      <c r="AV20098" s="562"/>
      <c r="AW20098" s="563"/>
      <c r="AX20098" s="563"/>
    </row>
    <row r="20099" spans="1:50" s="564" customFormat="1" x14ac:dyDescent="0.25">
      <c r="A20099" s="559"/>
      <c r="B20099" s="556"/>
      <c r="C20099" s="556"/>
      <c r="D20099" s="556"/>
      <c r="E20099" s="556"/>
      <c r="F20099" s="556"/>
      <c r="G20099" s="556"/>
      <c r="H20099" s="556"/>
      <c r="I20099" s="556"/>
      <c r="J20099" s="556"/>
      <c r="K20099" s="556"/>
      <c r="L20099" s="556"/>
      <c r="M20099" s="556"/>
      <c r="N20099" s="556"/>
      <c r="O20099" s="556"/>
      <c r="P20099" s="556"/>
      <c r="Q20099" s="557"/>
      <c r="R20099" s="557"/>
      <c r="S20099" s="557"/>
      <c r="T20099" s="557"/>
      <c r="U20099" s="556"/>
      <c r="V20099" s="556"/>
      <c r="W20099" s="556"/>
      <c r="X20099" s="556"/>
      <c r="Y20099" s="556"/>
      <c r="Z20099" s="556"/>
      <c r="AA20099" s="556"/>
      <c r="AB20099" s="556"/>
      <c r="AC20099" s="556"/>
      <c r="AD20099" s="556"/>
      <c r="AE20099" s="556"/>
      <c r="AF20099" s="556"/>
      <c r="AG20099" s="556"/>
      <c r="AH20099" s="556"/>
      <c r="AI20099" s="556"/>
      <c r="AJ20099" s="556"/>
      <c r="AK20099" s="560"/>
      <c r="AL20099" s="556"/>
      <c r="AM20099" s="556"/>
      <c r="AN20099" s="556"/>
      <c r="AO20099" s="556"/>
      <c r="AP20099" s="556"/>
      <c r="AQ20099" s="556"/>
      <c r="AR20099" s="556"/>
      <c r="AS20099" s="556"/>
      <c r="AT20099" s="561"/>
      <c r="AU20099" s="562"/>
      <c r="AV20099" s="562"/>
      <c r="AW20099" s="563"/>
      <c r="AX20099" s="563"/>
    </row>
    <row r="20100" spans="1:50" s="564" customFormat="1" x14ac:dyDescent="0.25">
      <c r="A20100" s="559"/>
      <c r="B20100" s="556"/>
      <c r="C20100" s="556"/>
      <c r="D20100" s="556"/>
      <c r="E20100" s="556"/>
      <c r="F20100" s="556"/>
      <c r="G20100" s="556"/>
      <c r="H20100" s="556"/>
      <c r="I20100" s="556"/>
      <c r="J20100" s="556"/>
      <c r="K20100" s="556"/>
      <c r="L20100" s="556"/>
      <c r="M20100" s="556"/>
      <c r="N20100" s="556"/>
      <c r="O20100" s="556"/>
      <c r="P20100" s="556"/>
      <c r="Q20100" s="557"/>
      <c r="R20100" s="557"/>
      <c r="S20100" s="557"/>
      <c r="T20100" s="557"/>
      <c r="U20100" s="556"/>
      <c r="V20100" s="556"/>
      <c r="W20100" s="556"/>
      <c r="X20100" s="556"/>
      <c r="Y20100" s="556"/>
      <c r="Z20100" s="556"/>
      <c r="AA20100" s="556"/>
      <c r="AB20100" s="556"/>
      <c r="AC20100" s="556"/>
      <c r="AD20100" s="556"/>
      <c r="AE20100" s="556"/>
      <c r="AF20100" s="556"/>
      <c r="AG20100" s="556"/>
      <c r="AH20100" s="556"/>
      <c r="AI20100" s="556"/>
      <c r="AJ20100" s="556"/>
      <c r="AK20100" s="560"/>
      <c r="AL20100" s="556"/>
      <c r="AM20100" s="556"/>
      <c r="AN20100" s="556"/>
      <c r="AO20100" s="556"/>
      <c r="AP20100" s="556"/>
      <c r="AQ20100" s="556"/>
      <c r="AR20100" s="556"/>
      <c r="AS20100" s="556"/>
      <c r="AT20100" s="561"/>
      <c r="AU20100" s="562"/>
      <c r="AV20100" s="562"/>
      <c r="AW20100" s="563"/>
      <c r="AX20100" s="563"/>
    </row>
    <row r="20101" spans="1:50" s="564" customFormat="1" x14ac:dyDescent="0.25">
      <c r="A20101" s="559"/>
      <c r="B20101" s="556"/>
      <c r="C20101" s="556"/>
      <c r="D20101" s="556"/>
      <c r="E20101" s="556"/>
      <c r="F20101" s="556"/>
      <c r="G20101" s="556"/>
      <c r="H20101" s="556"/>
      <c r="I20101" s="556"/>
      <c r="J20101" s="556"/>
      <c r="K20101" s="556"/>
      <c r="L20101" s="556"/>
      <c r="M20101" s="556"/>
      <c r="N20101" s="556"/>
      <c r="O20101" s="556"/>
      <c r="P20101" s="556"/>
      <c r="Q20101" s="557"/>
      <c r="R20101" s="557"/>
      <c r="S20101" s="557"/>
      <c r="T20101" s="557"/>
      <c r="U20101" s="556"/>
      <c r="V20101" s="556"/>
      <c r="W20101" s="556"/>
      <c r="X20101" s="556"/>
      <c r="Y20101" s="556"/>
      <c r="Z20101" s="556"/>
      <c r="AA20101" s="556"/>
      <c r="AB20101" s="556"/>
      <c r="AC20101" s="556"/>
      <c r="AD20101" s="556"/>
      <c r="AE20101" s="556"/>
      <c r="AF20101" s="556"/>
      <c r="AG20101" s="556"/>
      <c r="AH20101" s="556"/>
      <c r="AI20101" s="556"/>
      <c r="AJ20101" s="556"/>
      <c r="AK20101" s="560"/>
      <c r="AL20101" s="556"/>
      <c r="AM20101" s="556"/>
      <c r="AN20101" s="556"/>
      <c r="AO20101" s="556"/>
      <c r="AP20101" s="556"/>
      <c r="AQ20101" s="556"/>
      <c r="AR20101" s="556"/>
      <c r="AS20101" s="556"/>
      <c r="AT20101" s="561"/>
      <c r="AU20101" s="562"/>
      <c r="AV20101" s="562"/>
      <c r="AW20101" s="563"/>
      <c r="AX20101" s="563"/>
    </row>
    <row r="20102" spans="1:50" s="564" customFormat="1" x14ac:dyDescent="0.25">
      <c r="A20102" s="559"/>
      <c r="B20102" s="556"/>
      <c r="C20102" s="556"/>
      <c r="D20102" s="556"/>
      <c r="E20102" s="556"/>
      <c r="F20102" s="556"/>
      <c r="G20102" s="556"/>
      <c r="H20102" s="556"/>
      <c r="I20102" s="556"/>
      <c r="J20102" s="556"/>
      <c r="K20102" s="556"/>
      <c r="L20102" s="556"/>
      <c r="M20102" s="556"/>
      <c r="N20102" s="556"/>
      <c r="O20102" s="556"/>
      <c r="P20102" s="556"/>
      <c r="Q20102" s="557"/>
      <c r="R20102" s="557"/>
      <c r="S20102" s="557"/>
      <c r="T20102" s="557"/>
      <c r="U20102" s="556"/>
      <c r="V20102" s="556"/>
      <c r="W20102" s="556"/>
      <c r="X20102" s="556"/>
      <c r="Y20102" s="556"/>
      <c r="Z20102" s="556"/>
      <c r="AA20102" s="556"/>
      <c r="AB20102" s="556"/>
      <c r="AC20102" s="556"/>
      <c r="AD20102" s="556"/>
      <c r="AE20102" s="556"/>
      <c r="AF20102" s="556"/>
      <c r="AG20102" s="556"/>
      <c r="AH20102" s="556"/>
      <c r="AI20102" s="556"/>
      <c r="AJ20102" s="556"/>
      <c r="AK20102" s="560"/>
      <c r="AL20102" s="556"/>
      <c r="AM20102" s="556"/>
      <c r="AN20102" s="556"/>
      <c r="AO20102" s="556"/>
      <c r="AP20102" s="556"/>
      <c r="AQ20102" s="556"/>
      <c r="AR20102" s="556"/>
      <c r="AS20102" s="556"/>
      <c r="AT20102" s="561"/>
      <c r="AU20102" s="562"/>
      <c r="AV20102" s="562"/>
      <c r="AW20102" s="563"/>
      <c r="AX20102" s="563"/>
    </row>
    <row r="20103" spans="1:50" s="564" customFormat="1" x14ac:dyDescent="0.25">
      <c r="A20103" s="559"/>
      <c r="B20103" s="556"/>
      <c r="C20103" s="556"/>
      <c r="D20103" s="556"/>
      <c r="E20103" s="556"/>
      <c r="F20103" s="556"/>
      <c r="G20103" s="556"/>
      <c r="H20103" s="556"/>
      <c r="I20103" s="556"/>
      <c r="J20103" s="556"/>
      <c r="K20103" s="556"/>
      <c r="L20103" s="556"/>
      <c r="M20103" s="556"/>
      <c r="N20103" s="556"/>
      <c r="O20103" s="556"/>
      <c r="P20103" s="556"/>
      <c r="Q20103" s="557"/>
      <c r="R20103" s="557"/>
      <c r="S20103" s="557"/>
      <c r="T20103" s="557"/>
      <c r="U20103" s="556"/>
      <c r="V20103" s="556"/>
      <c r="W20103" s="556"/>
      <c r="X20103" s="556"/>
      <c r="Y20103" s="556"/>
      <c r="Z20103" s="556"/>
      <c r="AA20103" s="556"/>
      <c r="AB20103" s="556"/>
      <c r="AC20103" s="556"/>
      <c r="AD20103" s="556"/>
      <c r="AE20103" s="556"/>
      <c r="AF20103" s="556"/>
      <c r="AG20103" s="556"/>
      <c r="AH20103" s="556"/>
      <c r="AI20103" s="556"/>
      <c r="AJ20103" s="556"/>
      <c r="AK20103" s="560"/>
      <c r="AL20103" s="556"/>
      <c r="AM20103" s="556"/>
      <c r="AN20103" s="556"/>
      <c r="AO20103" s="556"/>
      <c r="AP20103" s="556"/>
      <c r="AQ20103" s="556"/>
      <c r="AR20103" s="556"/>
      <c r="AS20103" s="556"/>
      <c r="AT20103" s="561"/>
      <c r="AU20103" s="562"/>
      <c r="AV20103" s="562"/>
      <c r="AW20103" s="563"/>
      <c r="AX20103" s="563"/>
    </row>
    <row r="20104" spans="1:50" s="564" customFormat="1" x14ac:dyDescent="0.25">
      <c r="A20104" s="559"/>
      <c r="B20104" s="556"/>
      <c r="C20104" s="556"/>
      <c r="D20104" s="556"/>
      <c r="E20104" s="556"/>
      <c r="F20104" s="556"/>
      <c r="G20104" s="556"/>
      <c r="H20104" s="556"/>
      <c r="I20104" s="556"/>
      <c r="J20104" s="556"/>
      <c r="K20104" s="556"/>
      <c r="L20104" s="556"/>
      <c r="M20104" s="556"/>
      <c r="N20104" s="556"/>
      <c r="O20104" s="556"/>
      <c r="P20104" s="556"/>
      <c r="Q20104" s="557"/>
      <c r="R20104" s="557"/>
      <c r="S20104" s="557"/>
      <c r="T20104" s="557"/>
      <c r="U20104" s="556"/>
      <c r="V20104" s="556"/>
      <c r="W20104" s="556"/>
      <c r="X20104" s="556"/>
      <c r="Y20104" s="556"/>
      <c r="Z20104" s="556"/>
      <c r="AA20104" s="556"/>
      <c r="AB20104" s="556"/>
      <c r="AC20104" s="556"/>
      <c r="AD20104" s="556"/>
      <c r="AE20104" s="556"/>
      <c r="AF20104" s="556"/>
      <c r="AG20104" s="556"/>
      <c r="AH20104" s="556"/>
      <c r="AI20104" s="556"/>
      <c r="AJ20104" s="556"/>
      <c r="AK20104" s="560"/>
      <c r="AL20104" s="556"/>
      <c r="AM20104" s="556"/>
      <c r="AN20104" s="556"/>
      <c r="AO20104" s="556"/>
      <c r="AP20104" s="556"/>
      <c r="AQ20104" s="556"/>
      <c r="AR20104" s="556"/>
      <c r="AS20104" s="556"/>
      <c r="AT20104" s="561"/>
      <c r="AU20104" s="562"/>
      <c r="AV20104" s="562"/>
      <c r="AW20104" s="563"/>
      <c r="AX20104" s="563"/>
    </row>
    <row r="20105" spans="1:50" s="564" customFormat="1" x14ac:dyDescent="0.25">
      <c r="A20105" s="559"/>
      <c r="B20105" s="556"/>
      <c r="C20105" s="556"/>
      <c r="D20105" s="556"/>
      <c r="E20105" s="556"/>
      <c r="F20105" s="556"/>
      <c r="G20105" s="556"/>
      <c r="H20105" s="556"/>
      <c r="I20105" s="556"/>
      <c r="J20105" s="556"/>
      <c r="K20105" s="556"/>
      <c r="L20105" s="556"/>
      <c r="M20105" s="556"/>
      <c r="N20105" s="556"/>
      <c r="O20105" s="556"/>
      <c r="P20105" s="556"/>
      <c r="Q20105" s="557"/>
      <c r="R20105" s="557"/>
      <c r="S20105" s="557"/>
      <c r="T20105" s="557"/>
      <c r="U20105" s="556"/>
      <c r="V20105" s="556"/>
      <c r="W20105" s="556"/>
      <c r="X20105" s="556"/>
      <c r="Y20105" s="556"/>
      <c r="Z20105" s="556"/>
      <c r="AA20105" s="556"/>
      <c r="AB20105" s="556"/>
      <c r="AC20105" s="556"/>
      <c r="AD20105" s="556"/>
      <c r="AE20105" s="556"/>
      <c r="AF20105" s="556"/>
      <c r="AG20105" s="556"/>
      <c r="AH20105" s="556"/>
      <c r="AI20105" s="556"/>
      <c r="AJ20105" s="556"/>
      <c r="AK20105" s="560"/>
      <c r="AL20105" s="556"/>
      <c r="AM20105" s="556"/>
      <c r="AN20105" s="556"/>
      <c r="AO20105" s="556"/>
      <c r="AP20105" s="556"/>
      <c r="AQ20105" s="556"/>
      <c r="AR20105" s="556"/>
      <c r="AS20105" s="556"/>
      <c r="AT20105" s="561"/>
      <c r="AU20105" s="562"/>
      <c r="AV20105" s="562"/>
      <c r="AW20105" s="563"/>
      <c r="AX20105" s="563"/>
    </row>
    <row r="20106" spans="1:50" s="564" customFormat="1" x14ac:dyDescent="0.25">
      <c r="A20106" s="559"/>
      <c r="B20106" s="556"/>
      <c r="C20106" s="556"/>
      <c r="D20106" s="556"/>
      <c r="E20106" s="556"/>
      <c r="F20106" s="556"/>
      <c r="G20106" s="556"/>
      <c r="H20106" s="556"/>
      <c r="I20106" s="556"/>
      <c r="J20106" s="556"/>
      <c r="K20106" s="556"/>
      <c r="L20106" s="556"/>
      <c r="M20106" s="556"/>
      <c r="N20106" s="556"/>
      <c r="O20106" s="556"/>
      <c r="P20106" s="556"/>
      <c r="Q20106" s="557"/>
      <c r="R20106" s="557"/>
      <c r="S20106" s="557"/>
      <c r="T20106" s="557"/>
      <c r="U20106" s="556"/>
      <c r="V20106" s="556"/>
      <c r="W20106" s="556"/>
      <c r="X20106" s="556"/>
      <c r="Y20106" s="556"/>
      <c r="Z20106" s="556"/>
      <c r="AA20106" s="556"/>
      <c r="AB20106" s="556"/>
      <c r="AC20106" s="556"/>
      <c r="AD20106" s="556"/>
      <c r="AE20106" s="556"/>
      <c r="AF20106" s="556"/>
      <c r="AG20106" s="556"/>
      <c r="AH20106" s="556"/>
      <c r="AI20106" s="556"/>
      <c r="AJ20106" s="556"/>
      <c r="AK20106" s="560"/>
      <c r="AL20106" s="556"/>
      <c r="AM20106" s="556"/>
      <c r="AN20106" s="556"/>
      <c r="AO20106" s="556"/>
      <c r="AP20106" s="556"/>
      <c r="AQ20106" s="556"/>
      <c r="AR20106" s="556"/>
      <c r="AS20106" s="556"/>
      <c r="AT20106" s="561"/>
      <c r="AU20106" s="562"/>
      <c r="AV20106" s="562"/>
      <c r="AW20106" s="563"/>
      <c r="AX20106" s="563"/>
    </row>
    <row r="20107" spans="1:50" s="564" customFormat="1" x14ac:dyDescent="0.25">
      <c r="A20107" s="559"/>
      <c r="B20107" s="556"/>
      <c r="C20107" s="556"/>
      <c r="D20107" s="556"/>
      <c r="E20107" s="556"/>
      <c r="F20107" s="556"/>
      <c r="G20107" s="556"/>
      <c r="H20107" s="556"/>
      <c r="I20107" s="556"/>
      <c r="J20107" s="556"/>
      <c r="K20107" s="556"/>
      <c r="L20107" s="556"/>
      <c r="M20107" s="556"/>
      <c r="N20107" s="556"/>
      <c r="O20107" s="556"/>
      <c r="P20107" s="556"/>
      <c r="Q20107" s="557"/>
      <c r="R20107" s="557"/>
      <c r="S20107" s="557"/>
      <c r="T20107" s="557"/>
      <c r="U20107" s="556"/>
      <c r="V20107" s="556"/>
      <c r="W20107" s="556"/>
      <c r="X20107" s="556"/>
      <c r="Y20107" s="556"/>
      <c r="Z20107" s="556"/>
      <c r="AA20107" s="556"/>
      <c r="AB20107" s="556"/>
      <c r="AC20107" s="556"/>
      <c r="AD20107" s="556"/>
      <c r="AE20107" s="556"/>
      <c r="AF20107" s="556"/>
      <c r="AG20107" s="556"/>
      <c r="AH20107" s="556"/>
      <c r="AI20107" s="556"/>
      <c r="AJ20107" s="556"/>
      <c r="AK20107" s="560"/>
      <c r="AL20107" s="556"/>
      <c r="AM20107" s="556"/>
      <c r="AN20107" s="556"/>
      <c r="AO20107" s="556"/>
      <c r="AP20107" s="556"/>
      <c r="AQ20107" s="556"/>
      <c r="AR20107" s="556"/>
      <c r="AS20107" s="556"/>
      <c r="AT20107" s="561"/>
      <c r="AU20107" s="562"/>
      <c r="AV20107" s="562"/>
      <c r="AW20107" s="563"/>
      <c r="AX20107" s="563"/>
    </row>
    <row r="20108" spans="1:50" s="564" customFormat="1" x14ac:dyDescent="0.25">
      <c r="A20108" s="559"/>
      <c r="B20108" s="556"/>
      <c r="C20108" s="556"/>
      <c r="D20108" s="556"/>
      <c r="E20108" s="556"/>
      <c r="F20108" s="556"/>
      <c r="G20108" s="556"/>
      <c r="H20108" s="556"/>
      <c r="I20108" s="556"/>
      <c r="J20108" s="556"/>
      <c r="K20108" s="556"/>
      <c r="L20108" s="556"/>
      <c r="M20108" s="556"/>
      <c r="N20108" s="556"/>
      <c r="O20108" s="556"/>
      <c r="P20108" s="556"/>
      <c r="Q20108" s="557"/>
      <c r="R20108" s="557"/>
      <c r="S20108" s="557"/>
      <c r="T20108" s="557"/>
      <c r="U20108" s="556"/>
      <c r="V20108" s="556"/>
      <c r="W20108" s="556"/>
      <c r="X20108" s="556"/>
      <c r="Y20108" s="556"/>
      <c r="Z20108" s="556"/>
      <c r="AA20108" s="556"/>
      <c r="AB20108" s="556"/>
      <c r="AC20108" s="556"/>
      <c r="AD20108" s="556"/>
      <c r="AE20108" s="556"/>
      <c r="AF20108" s="556"/>
      <c r="AG20108" s="556"/>
      <c r="AH20108" s="556"/>
      <c r="AI20108" s="556"/>
      <c r="AJ20108" s="556"/>
      <c r="AK20108" s="560"/>
      <c r="AL20108" s="556"/>
      <c r="AM20108" s="556"/>
      <c r="AN20108" s="556"/>
      <c r="AO20108" s="556"/>
      <c r="AP20108" s="556"/>
      <c r="AQ20108" s="556"/>
      <c r="AR20108" s="556"/>
      <c r="AS20108" s="556"/>
      <c r="AT20108" s="561"/>
      <c r="AU20108" s="562"/>
      <c r="AV20108" s="562"/>
      <c r="AW20108" s="563"/>
      <c r="AX20108" s="563"/>
    </row>
    <row r="20109" spans="1:50" s="564" customFormat="1" x14ac:dyDescent="0.25">
      <c r="A20109" s="559"/>
      <c r="B20109" s="556"/>
      <c r="C20109" s="556"/>
      <c r="D20109" s="556"/>
      <c r="E20109" s="556"/>
      <c r="F20109" s="556"/>
      <c r="G20109" s="556"/>
      <c r="H20109" s="556"/>
      <c r="I20109" s="556"/>
      <c r="J20109" s="556"/>
      <c r="K20109" s="556"/>
      <c r="L20109" s="556"/>
      <c r="M20109" s="556"/>
      <c r="N20109" s="556"/>
      <c r="O20109" s="556"/>
      <c r="P20109" s="556"/>
      <c r="Q20109" s="557"/>
      <c r="R20109" s="557"/>
      <c r="S20109" s="557"/>
      <c r="T20109" s="557"/>
      <c r="U20109" s="556"/>
      <c r="V20109" s="556"/>
      <c r="W20109" s="556"/>
      <c r="X20109" s="556"/>
      <c r="Y20109" s="556"/>
      <c r="Z20109" s="556"/>
      <c r="AA20109" s="556"/>
      <c r="AB20109" s="556"/>
      <c r="AC20109" s="556"/>
      <c r="AD20109" s="556"/>
      <c r="AE20109" s="556"/>
      <c r="AF20109" s="556"/>
      <c r="AG20109" s="556"/>
      <c r="AH20109" s="556"/>
      <c r="AI20109" s="556"/>
      <c r="AJ20109" s="556"/>
      <c r="AK20109" s="560"/>
      <c r="AL20109" s="556"/>
      <c r="AM20109" s="556"/>
      <c r="AN20109" s="556"/>
      <c r="AO20109" s="556"/>
      <c r="AP20109" s="556"/>
      <c r="AQ20109" s="556"/>
      <c r="AR20109" s="556"/>
      <c r="AS20109" s="556"/>
      <c r="AT20109" s="561"/>
      <c r="AU20109" s="562"/>
      <c r="AV20109" s="562"/>
      <c r="AW20109" s="563"/>
      <c r="AX20109" s="563"/>
    </row>
    <row r="20110" spans="1:50" s="564" customFormat="1" x14ac:dyDescent="0.25">
      <c r="A20110" s="559"/>
      <c r="B20110" s="556"/>
      <c r="C20110" s="556"/>
      <c r="D20110" s="556"/>
      <c r="E20110" s="556"/>
      <c r="F20110" s="556"/>
      <c r="G20110" s="556"/>
      <c r="H20110" s="556"/>
      <c r="I20110" s="556"/>
      <c r="J20110" s="556"/>
      <c r="K20110" s="556"/>
      <c r="L20110" s="556"/>
      <c r="M20110" s="556"/>
      <c r="N20110" s="556"/>
      <c r="O20110" s="556"/>
      <c r="P20110" s="556"/>
      <c r="Q20110" s="557"/>
      <c r="R20110" s="557"/>
      <c r="S20110" s="557"/>
      <c r="T20110" s="557"/>
      <c r="U20110" s="556"/>
      <c r="V20110" s="556"/>
      <c r="W20110" s="556"/>
      <c r="X20110" s="556"/>
      <c r="Y20110" s="556"/>
      <c r="Z20110" s="556"/>
      <c r="AA20110" s="556"/>
      <c r="AB20110" s="556"/>
      <c r="AC20110" s="556"/>
      <c r="AD20110" s="556"/>
      <c r="AE20110" s="556"/>
      <c r="AF20110" s="556"/>
      <c r="AG20110" s="556"/>
      <c r="AH20110" s="556"/>
      <c r="AI20110" s="556"/>
      <c r="AJ20110" s="556"/>
      <c r="AK20110" s="560"/>
      <c r="AL20110" s="556"/>
      <c r="AM20110" s="556"/>
      <c r="AN20110" s="556"/>
      <c r="AO20110" s="556"/>
      <c r="AP20110" s="556"/>
      <c r="AQ20110" s="556"/>
      <c r="AR20110" s="556"/>
      <c r="AS20110" s="556"/>
      <c r="AT20110" s="561"/>
      <c r="AU20110" s="562"/>
      <c r="AV20110" s="562"/>
      <c r="AW20110" s="563"/>
      <c r="AX20110" s="563"/>
    </row>
    <row r="20111" spans="1:50" s="564" customFormat="1" x14ac:dyDescent="0.25">
      <c r="A20111" s="559"/>
      <c r="B20111" s="556"/>
      <c r="C20111" s="556"/>
      <c r="D20111" s="556"/>
      <c r="E20111" s="556"/>
      <c r="F20111" s="556"/>
      <c r="G20111" s="556"/>
      <c r="H20111" s="556"/>
      <c r="I20111" s="556"/>
      <c r="J20111" s="556"/>
      <c r="K20111" s="556"/>
      <c r="L20111" s="556"/>
      <c r="M20111" s="556"/>
      <c r="N20111" s="556"/>
      <c r="O20111" s="556"/>
      <c r="P20111" s="556"/>
      <c r="Q20111" s="557"/>
      <c r="R20111" s="557"/>
      <c r="S20111" s="557"/>
      <c r="T20111" s="557"/>
      <c r="U20111" s="556"/>
      <c r="V20111" s="556"/>
      <c r="W20111" s="556"/>
      <c r="X20111" s="556"/>
      <c r="Y20111" s="556"/>
      <c r="Z20111" s="556"/>
      <c r="AA20111" s="556"/>
      <c r="AB20111" s="556"/>
      <c r="AC20111" s="556"/>
      <c r="AD20111" s="556"/>
      <c r="AE20111" s="556"/>
      <c r="AF20111" s="556"/>
      <c r="AG20111" s="556"/>
      <c r="AH20111" s="556"/>
      <c r="AI20111" s="556"/>
      <c r="AJ20111" s="556"/>
      <c r="AK20111" s="560"/>
      <c r="AL20111" s="556"/>
      <c r="AM20111" s="556"/>
      <c r="AN20111" s="556"/>
      <c r="AO20111" s="556"/>
      <c r="AP20111" s="556"/>
      <c r="AQ20111" s="556"/>
      <c r="AR20111" s="556"/>
      <c r="AS20111" s="556"/>
      <c r="AT20111" s="561"/>
      <c r="AU20111" s="562"/>
      <c r="AV20111" s="562"/>
      <c r="AW20111" s="563"/>
      <c r="AX20111" s="563"/>
    </row>
    <row r="20112" spans="1:50" x14ac:dyDescent="0.25">
      <c r="D20112" s="556"/>
      <c r="E20112" s="556"/>
      <c r="F20112" s="556"/>
      <c r="G20112" s="556"/>
      <c r="H20112" s="556"/>
      <c r="I20112" s="556"/>
      <c r="J20112" s="556"/>
      <c r="K20112" s="556"/>
      <c r="L20112" s="556"/>
      <c r="M20112" s="556"/>
      <c r="N20112" s="556"/>
      <c r="O20112" s="556"/>
      <c r="P20112" s="556"/>
      <c r="Q20112" s="557"/>
      <c r="R20112" s="557"/>
      <c r="S20112" s="557"/>
      <c r="T20112" s="557"/>
      <c r="U20112" s="556"/>
      <c r="V20112" s="556"/>
      <c r="W20112" s="556"/>
      <c r="X20112" s="556"/>
      <c r="Y20112" s="556"/>
      <c r="Z20112" s="556"/>
      <c r="AA20112" s="556"/>
      <c r="AB20112" s="556"/>
    </row>
    <row r="20113" spans="4:28" x14ac:dyDescent="0.25">
      <c r="D20113" s="556"/>
      <c r="E20113" s="556"/>
      <c r="F20113" s="556"/>
      <c r="G20113" s="556"/>
      <c r="H20113" s="556"/>
      <c r="I20113" s="556"/>
      <c r="J20113" s="556"/>
      <c r="K20113" s="556"/>
      <c r="L20113" s="556"/>
      <c r="M20113" s="556"/>
      <c r="N20113" s="556"/>
      <c r="O20113" s="556"/>
      <c r="P20113" s="556"/>
      <c r="Q20113" s="557"/>
      <c r="R20113" s="557"/>
      <c r="S20113" s="557"/>
      <c r="T20113" s="557"/>
      <c r="U20113" s="556"/>
      <c r="V20113" s="556"/>
      <c r="W20113" s="556"/>
      <c r="X20113" s="556"/>
      <c r="Y20113" s="556"/>
      <c r="Z20113" s="556"/>
      <c r="AA20113" s="556"/>
      <c r="AB20113" s="556"/>
    </row>
    <row r="20114" spans="4:28" x14ac:dyDescent="0.25">
      <c r="D20114" s="556"/>
      <c r="E20114" s="556"/>
      <c r="F20114" s="556"/>
      <c r="G20114" s="556"/>
      <c r="H20114" s="556"/>
      <c r="I20114" s="556"/>
      <c r="J20114" s="556"/>
      <c r="K20114" s="556"/>
      <c r="L20114" s="556"/>
      <c r="M20114" s="556"/>
      <c r="N20114" s="556"/>
      <c r="O20114" s="556"/>
      <c r="P20114" s="556"/>
      <c r="Q20114" s="557"/>
      <c r="R20114" s="557"/>
      <c r="S20114" s="557"/>
      <c r="T20114" s="557"/>
      <c r="U20114" s="556"/>
      <c r="V20114" s="556"/>
      <c r="W20114" s="556"/>
      <c r="X20114" s="556"/>
      <c r="Y20114" s="556"/>
      <c r="Z20114" s="556"/>
      <c r="AA20114" s="556"/>
      <c r="AB20114" s="556"/>
    </row>
    <row r="20115" spans="4:28" x14ac:dyDescent="0.25">
      <c r="D20115" s="556"/>
      <c r="E20115" s="556"/>
      <c r="F20115" s="556"/>
      <c r="G20115" s="556"/>
      <c r="H20115" s="556"/>
      <c r="I20115" s="556"/>
      <c r="J20115" s="556"/>
      <c r="K20115" s="556"/>
      <c r="L20115" s="556"/>
      <c r="M20115" s="556"/>
      <c r="N20115" s="556"/>
      <c r="O20115" s="556"/>
      <c r="P20115" s="556"/>
      <c r="Q20115" s="557"/>
      <c r="R20115" s="557"/>
      <c r="S20115" s="557"/>
      <c r="T20115" s="557"/>
      <c r="U20115" s="556"/>
      <c r="V20115" s="556"/>
      <c r="W20115" s="556"/>
      <c r="X20115" s="556"/>
      <c r="Y20115" s="556"/>
      <c r="Z20115" s="556"/>
      <c r="AA20115" s="556"/>
      <c r="AB20115" s="556"/>
    </row>
  </sheetData>
  <mergeCells count="223">
    <mergeCell ref="B5:I7"/>
    <mergeCell ref="J5:AC7"/>
    <mergeCell ref="AD5:AL7"/>
    <mergeCell ref="AM5:AS7"/>
    <mergeCell ref="B8:D8"/>
    <mergeCell ref="F8:Y8"/>
    <mergeCell ref="Z8:AS8"/>
    <mergeCell ref="B9:G9"/>
    <mergeCell ref="AI9:AP10"/>
    <mergeCell ref="D10:X10"/>
    <mergeCell ref="D11:X11"/>
    <mergeCell ref="B14:Y14"/>
    <mergeCell ref="B15:C20"/>
    <mergeCell ref="T15:V15"/>
    <mergeCell ref="AF15:AN15"/>
    <mergeCell ref="AO15:AS15"/>
    <mergeCell ref="D16:N16"/>
    <mergeCell ref="D18:AJ19"/>
    <mergeCell ref="AK18:AP19"/>
    <mergeCell ref="AQ18:AS19"/>
    <mergeCell ref="K20:L20"/>
    <mergeCell ref="M20:N20"/>
    <mergeCell ref="W20:AS20"/>
    <mergeCell ref="P16:V16"/>
    <mergeCell ref="W16:AE16"/>
    <mergeCell ref="AF16:AN16"/>
    <mergeCell ref="AO16:AS16"/>
    <mergeCell ref="AK17:AP17"/>
    <mergeCell ref="AQ17:AS17"/>
    <mergeCell ref="AH21:AK21"/>
    <mergeCell ref="AM21:AS21"/>
    <mergeCell ref="B22:D22"/>
    <mergeCell ref="F22:L22"/>
    <mergeCell ref="M22:Q22"/>
    <mergeCell ref="T22:X22"/>
    <mergeCell ref="Z22:AF22"/>
    <mergeCell ref="AH22:AJ22"/>
    <mergeCell ref="AK22:AS22"/>
    <mergeCell ref="B21:I21"/>
    <mergeCell ref="J21:K21"/>
    <mergeCell ref="L21:T21"/>
    <mergeCell ref="U21:W21"/>
    <mergeCell ref="X21:AE21"/>
    <mergeCell ref="AF21:AG21"/>
    <mergeCell ref="C26:O26"/>
    <mergeCell ref="Q26:Y26"/>
    <mergeCell ref="AA26:AJ26"/>
    <mergeCell ref="AL26:AS26"/>
    <mergeCell ref="C27:O27"/>
    <mergeCell ref="Q27:Y27"/>
    <mergeCell ref="AA27:AJ27"/>
    <mergeCell ref="AL27:AS27"/>
    <mergeCell ref="B24:B34"/>
    <mergeCell ref="C24:O24"/>
    <mergeCell ref="Q24:Y24"/>
    <mergeCell ref="Z24:Z27"/>
    <mergeCell ref="AA24:AJ24"/>
    <mergeCell ref="AL24:AS24"/>
    <mergeCell ref="C25:O25"/>
    <mergeCell ref="Q25:Y25"/>
    <mergeCell ref="AA25:AJ25"/>
    <mergeCell ref="AL25:AS25"/>
    <mergeCell ref="Q30:Y30"/>
    <mergeCell ref="AA30:AJ30"/>
    <mergeCell ref="AL30:AS30"/>
    <mergeCell ref="C31:O31"/>
    <mergeCell ref="Q31:Y31"/>
    <mergeCell ref="AA31:AJ31"/>
    <mergeCell ref="AL31:AS31"/>
    <mergeCell ref="C28:O28"/>
    <mergeCell ref="Q28:Y28"/>
    <mergeCell ref="Z28:Z33"/>
    <mergeCell ref="AA28:AJ28"/>
    <mergeCell ref="AL28:AS28"/>
    <mergeCell ref="C29:O29"/>
    <mergeCell ref="Q29:Y29"/>
    <mergeCell ref="AA29:AJ29"/>
    <mergeCell ref="AL29:AS29"/>
    <mergeCell ref="C30:O30"/>
    <mergeCell ref="B35:B49"/>
    <mergeCell ref="C35:O35"/>
    <mergeCell ref="Q35:Y35"/>
    <mergeCell ref="Z35:Z61"/>
    <mergeCell ref="AA35:AJ35"/>
    <mergeCell ref="AL35:AS35"/>
    <mergeCell ref="C32:O32"/>
    <mergeCell ref="Q32:Y32"/>
    <mergeCell ref="AA32:AJ32"/>
    <mergeCell ref="AL32:AS32"/>
    <mergeCell ref="C33:O33"/>
    <mergeCell ref="Q33:Y33"/>
    <mergeCell ref="AA33:AJ33"/>
    <mergeCell ref="AL33:AS33"/>
    <mergeCell ref="C36:O36"/>
    <mergeCell ref="Q36:Y36"/>
    <mergeCell ref="AA36:AJ36"/>
    <mergeCell ref="AL36:AS36"/>
    <mergeCell ref="D37:O37"/>
    <mergeCell ref="Q37:Y37"/>
    <mergeCell ref="AA37:AJ37"/>
    <mergeCell ref="AL37:AS37"/>
    <mergeCell ref="C34:O34"/>
    <mergeCell ref="Q34:Y34"/>
    <mergeCell ref="AA34:AJ34"/>
    <mergeCell ref="AL34:AS34"/>
    <mergeCell ref="D40:O40"/>
    <mergeCell ref="Q40:Y40"/>
    <mergeCell ref="AA40:AJ40"/>
    <mergeCell ref="AL40:AS40"/>
    <mergeCell ref="D41:O41"/>
    <mergeCell ref="Q41:Y41"/>
    <mergeCell ref="AA41:AJ41"/>
    <mergeCell ref="AL41:AS41"/>
    <mergeCell ref="D38:O38"/>
    <mergeCell ref="Q38:Y38"/>
    <mergeCell ref="AA38:AJ38"/>
    <mergeCell ref="AL38:AS38"/>
    <mergeCell ref="D39:O39"/>
    <mergeCell ref="Q39:Y39"/>
    <mergeCell ref="AA39:AJ39"/>
    <mergeCell ref="AL39:AS39"/>
    <mergeCell ref="D44:O44"/>
    <mergeCell ref="Q44:Y44"/>
    <mergeCell ref="AA44:AJ44"/>
    <mergeCell ref="AL44:AS44"/>
    <mergeCell ref="C45:O45"/>
    <mergeCell ref="Q45:Y45"/>
    <mergeCell ref="AA45:AJ45"/>
    <mergeCell ref="AL45:AS45"/>
    <mergeCell ref="D42:O42"/>
    <mergeCell ref="Q42:Y42"/>
    <mergeCell ref="AA42:AJ42"/>
    <mergeCell ref="AL42:AS42"/>
    <mergeCell ref="D43:O43"/>
    <mergeCell ref="Q43:Y43"/>
    <mergeCell ref="AA43:AJ43"/>
    <mergeCell ref="AL43:AS43"/>
    <mergeCell ref="C48:O48"/>
    <mergeCell ref="Q48:Y48"/>
    <mergeCell ref="AA48:AJ48"/>
    <mergeCell ref="AL48:AS48"/>
    <mergeCell ref="C49:O49"/>
    <mergeCell ref="Q49:Y49"/>
    <mergeCell ref="AA49:AJ49"/>
    <mergeCell ref="AL49:AS49"/>
    <mergeCell ref="C46:O46"/>
    <mergeCell ref="Q46:Y46"/>
    <mergeCell ref="AA46:AJ46"/>
    <mergeCell ref="AL46:AS46"/>
    <mergeCell ref="C47:O47"/>
    <mergeCell ref="Q47:Y47"/>
    <mergeCell ref="AA47:AJ47"/>
    <mergeCell ref="AL47:AS47"/>
    <mergeCell ref="C52:O52"/>
    <mergeCell ref="Q52:Y52"/>
    <mergeCell ref="AB52:AJ52"/>
    <mergeCell ref="AL52:AS52"/>
    <mergeCell ref="C53:O53"/>
    <mergeCell ref="Q53:Y53"/>
    <mergeCell ref="AB53:AJ53"/>
    <mergeCell ref="AL53:AS53"/>
    <mergeCell ref="B50:B55"/>
    <mergeCell ref="C50:O50"/>
    <mergeCell ref="Q50:Y50"/>
    <mergeCell ref="AA50:AJ50"/>
    <mergeCell ref="AL50:AS50"/>
    <mergeCell ref="C51:O51"/>
    <mergeCell ref="Q51:Y51"/>
    <mergeCell ref="AA51:AA53"/>
    <mergeCell ref="AB51:AJ51"/>
    <mergeCell ref="AL51:AS51"/>
    <mergeCell ref="C54:O54"/>
    <mergeCell ref="Q54:Y54"/>
    <mergeCell ref="AA54:AJ54"/>
    <mergeCell ref="AL54:AS54"/>
    <mergeCell ref="C55:O55"/>
    <mergeCell ref="Q55:Y55"/>
    <mergeCell ref="AA55:AA57"/>
    <mergeCell ref="AB55:AJ55"/>
    <mergeCell ref="AL55:AS55"/>
    <mergeCell ref="B56:B57"/>
    <mergeCell ref="D56:O56"/>
    <mergeCell ref="Q56:Y56"/>
    <mergeCell ref="AB56:AJ56"/>
    <mergeCell ref="AL56:AS56"/>
    <mergeCell ref="D57:O57"/>
    <mergeCell ref="Q57:Y57"/>
    <mergeCell ref="AB57:AJ57"/>
    <mergeCell ref="AL57:AS57"/>
    <mergeCell ref="Q60:Y60"/>
    <mergeCell ref="AA60:AJ60"/>
    <mergeCell ref="AL60:AS60"/>
    <mergeCell ref="C61:O61"/>
    <mergeCell ref="Q61:Y61"/>
    <mergeCell ref="AA61:AJ61"/>
    <mergeCell ref="AL61:AS61"/>
    <mergeCell ref="B58:B63"/>
    <mergeCell ref="D58:O58"/>
    <mergeCell ref="Q58:Y58"/>
    <mergeCell ref="AA58:AJ58"/>
    <mergeCell ref="AL58:AS58"/>
    <mergeCell ref="C59:O59"/>
    <mergeCell ref="Q59:Y59"/>
    <mergeCell ref="AA59:AJ59"/>
    <mergeCell ref="AL59:AS59"/>
    <mergeCell ref="C60:O60"/>
    <mergeCell ref="G71:P71"/>
    <mergeCell ref="H64:J64"/>
    <mergeCell ref="B65:I65"/>
    <mergeCell ref="B66:M66"/>
    <mergeCell ref="AM66:AS66"/>
    <mergeCell ref="B68:I68"/>
    <mergeCell ref="B69:I69"/>
    <mergeCell ref="J69:O69"/>
    <mergeCell ref="AW61:BD61"/>
    <mergeCell ref="C62:O62"/>
    <mergeCell ref="Q62:Y62"/>
    <mergeCell ref="Z62:AJ62"/>
    <mergeCell ref="AL62:AS62"/>
    <mergeCell ref="C63:O63"/>
    <mergeCell ref="Q63:Y63"/>
    <mergeCell ref="Z63:AJ63"/>
    <mergeCell ref="AL63:AS63"/>
  </mergeCells>
  <conditionalFormatting sqref="Q62:Q63">
    <cfRule type="cellIs" dxfId="27" priority="32" operator="lessThan">
      <formula>0</formula>
    </cfRule>
  </conditionalFormatting>
  <conditionalFormatting sqref="Q24:Y61">
    <cfRule type="cellIs" dxfId="26" priority="1" operator="lessThan">
      <formula>0</formula>
    </cfRule>
  </conditionalFormatting>
  <conditionalFormatting sqref="AL24 AL25:AS28 AL31:AS34 AL41:AS47 AL48 AL49:AS54 AL55:AL57 AL58:AS63">
    <cfRule type="cellIs" dxfId="25" priority="35" operator="lessThan">
      <formula>0</formula>
    </cfRule>
  </conditionalFormatting>
  <conditionalFormatting sqref="AL29:AL30">
    <cfRule type="cellIs" dxfId="24" priority="31" operator="lessThan">
      <formula>0</formula>
    </cfRule>
  </conditionalFormatting>
  <conditionalFormatting sqref="AL35:AL40">
    <cfRule type="cellIs" dxfId="23" priority="30" operator="lessThan">
      <formula>0</formula>
    </cfRule>
  </conditionalFormatting>
  <dataValidations count="3">
    <dataValidation allowBlank="1" showInputMessage="1" showErrorMessage="1" prompt="Registre en esta casilla el valor de las pérdidas acumuladas a 31 de diciembre del año anterior al que está declarando. Por defecto trae el valor del anexo de datos generales o de compensaciones, o puede digitar el valor directamente." sqref="AM21:AS21" xr:uid="{00000000-0002-0000-0700-000000000000}"/>
    <dataValidation allowBlank="1" showInputMessage="1" showErrorMessage="1" prompt="Para el año gravable 2019 no aplica" sqref="AL55:AS56" xr:uid="{00000000-0002-0000-0700-000001000000}"/>
    <dataValidation operator="greaterThan" allowBlank="1" showInputMessage="1" showErrorMessage="1" sqref="AL27:AS27" xr:uid="{00000000-0002-0000-0700-000002000000}"/>
  </dataValidation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210"/>
  <sheetViews>
    <sheetView showGridLines="0" zoomScale="130" zoomScaleNormal="130" workbookViewId="0">
      <pane xSplit="2" ySplit="3" topLeftCell="D4" activePane="bottomRight" state="frozen"/>
      <selection pane="topRight" activeCell="C1" sqref="C1"/>
      <selection pane="bottomLeft" activeCell="A6" sqref="A6"/>
      <selection pane="bottomRight" activeCell="D8" sqref="D8"/>
    </sheetView>
  </sheetViews>
  <sheetFormatPr baseColWidth="10" defaultRowHeight="12.75" x14ac:dyDescent="0.2"/>
  <cols>
    <col min="1" max="1" width="7.42578125" bestFit="1" customWidth="1"/>
    <col min="2" max="2" width="39" customWidth="1"/>
    <col min="3" max="5" width="21.85546875" customWidth="1"/>
    <col min="6" max="6" width="12.140625" bestFit="1" customWidth="1"/>
    <col min="7" max="7" width="13.140625" bestFit="1" customWidth="1"/>
    <col min="8" max="30" width="21.85546875" customWidth="1"/>
  </cols>
  <sheetData>
    <row r="1" spans="1:11" x14ac:dyDescent="0.2">
      <c r="A1" s="52"/>
      <c r="B1" s="33" t="s">
        <v>38</v>
      </c>
      <c r="D1" s="1167"/>
      <c r="E1" s="1168"/>
    </row>
    <row r="2" spans="1:11" x14ac:dyDescent="0.2">
      <c r="A2" s="52"/>
      <c r="B2" s="33" t="s">
        <v>58</v>
      </c>
    </row>
    <row r="3" spans="1:11" x14ac:dyDescent="0.2">
      <c r="A3" s="408" t="s">
        <v>1117</v>
      </c>
      <c r="B3" s="408" t="s">
        <v>1013</v>
      </c>
      <c r="C3" s="408" t="s">
        <v>1118</v>
      </c>
      <c r="D3" s="408" t="s">
        <v>20</v>
      </c>
      <c r="E3" s="408" t="s">
        <v>1119</v>
      </c>
      <c r="F3" s="408" t="s">
        <v>1120</v>
      </c>
      <c r="G3" s="408" t="s">
        <v>1121</v>
      </c>
    </row>
    <row r="4" spans="1:11" x14ac:dyDescent="0.2">
      <c r="A4" s="95"/>
      <c r="B4" s="95"/>
    </row>
    <row r="5" spans="1:11" x14ac:dyDescent="0.2">
      <c r="A5" s="208">
        <f>+'BP 311220x3'!A7</f>
        <v>111005</v>
      </c>
      <c r="B5" s="208" t="str">
        <f>+'BP 311220x3'!B7</f>
        <v>Cuenta cte. Bancolombia</v>
      </c>
      <c r="C5" s="209">
        <f>+VLOOKUP((A5),'BP 311220x3'!A:F,6,0)</f>
        <v>8431387839</v>
      </c>
      <c r="D5" s="209"/>
      <c r="E5" s="209">
        <f>+C5+D5</f>
        <v>8431387839</v>
      </c>
      <c r="F5" s="575"/>
      <c r="G5" s="575"/>
      <c r="H5" s="190"/>
    </row>
    <row r="6" spans="1:11" x14ac:dyDescent="0.2">
      <c r="A6" s="208">
        <f>+'BP 311220x3'!A8</f>
        <v>111010</v>
      </c>
      <c r="B6" s="208" t="str">
        <f>+'BP 311220x3'!B8</f>
        <v xml:space="preserve">Cta Banco Miami </v>
      </c>
      <c r="C6" s="209">
        <f>+VLOOKUP((A6),'BP 311220x3'!A:F,6,0)</f>
        <v>60807000</v>
      </c>
      <c r="D6" s="209"/>
      <c r="E6" s="209">
        <f>+C6+D6</f>
        <v>60807000</v>
      </c>
      <c r="F6" s="575"/>
      <c r="G6" s="575"/>
      <c r="H6" s="190"/>
    </row>
    <row r="7" spans="1:11" x14ac:dyDescent="0.2">
      <c r="A7" s="208">
        <f>+'BP 311220x3'!A9</f>
        <v>124505</v>
      </c>
      <c r="B7" s="208" t="str">
        <f>+'BP 311220x3'!B9</f>
        <v>Carteras colectivas</v>
      </c>
      <c r="C7" s="209">
        <f>+VLOOKUP((A7),'BP 311220x3'!A:F,6,0)</f>
        <v>128337000</v>
      </c>
      <c r="D7" s="209"/>
      <c r="E7" s="209">
        <f t="shared" ref="E7:E49" si="0">+C7+D7</f>
        <v>128337000</v>
      </c>
      <c r="F7" s="575"/>
      <c r="G7" s="575"/>
      <c r="H7" s="190"/>
    </row>
    <row r="8" spans="1:11" x14ac:dyDescent="0.2">
      <c r="A8" s="208">
        <f>+'BP 311220x3'!A10</f>
        <v>111006</v>
      </c>
      <c r="B8" s="208" t="str">
        <f>+'BP 311220x3'!B10</f>
        <v>Cuenta cte. Banco Bogotá</v>
      </c>
      <c r="C8" s="209">
        <f>+VLOOKUP((A8),'BP 311220x3'!A:F,6,0)</f>
        <v>17586000</v>
      </c>
      <c r="D8" s="209"/>
      <c r="E8" s="209">
        <f t="shared" si="0"/>
        <v>17586000</v>
      </c>
      <c r="F8" s="575"/>
      <c r="G8" s="575"/>
      <c r="H8" s="190"/>
    </row>
    <row r="9" spans="1:11" x14ac:dyDescent="0.2">
      <c r="A9" s="208">
        <f>+'BP 311220x3'!A11</f>
        <v>120550</v>
      </c>
      <c r="B9" s="208" t="str">
        <f>+'BP 311220x3'!B11</f>
        <v>Grupo Aval- preferencial (0.0094%)</v>
      </c>
      <c r="C9" s="209">
        <f>+VLOOKUP((A9),'BP 311220x3'!A:F,6,0)</f>
        <v>325052000</v>
      </c>
      <c r="D9" s="209"/>
      <c r="E9" s="209">
        <f t="shared" si="0"/>
        <v>325052000</v>
      </c>
      <c r="F9" s="575"/>
      <c r="G9" s="575"/>
      <c r="H9" s="190"/>
    </row>
    <row r="10" spans="1:11" x14ac:dyDescent="0.2">
      <c r="A10" s="208">
        <f>+'BP 311220x3'!A12</f>
        <v>120551</v>
      </c>
      <c r="B10" s="208" t="str">
        <f>+'BP 311220x3'!B12</f>
        <v>Grupo aval - ajustes al VR</v>
      </c>
      <c r="C10" s="209">
        <f>+VLOOKUP((A10),'BP 311220x3'!A:F,6,0)</f>
        <v>117488770</v>
      </c>
      <c r="D10" s="209"/>
      <c r="E10" s="209">
        <f t="shared" si="0"/>
        <v>117488770</v>
      </c>
      <c r="F10" s="575"/>
      <c r="G10" s="575"/>
      <c r="H10" s="190"/>
    </row>
    <row r="11" spans="1:11" x14ac:dyDescent="0.2">
      <c r="A11" s="208">
        <f>+'BP 311220x3'!A13</f>
        <v>120520</v>
      </c>
      <c r="B11" s="208" t="str">
        <f>+'BP 311220x3'!B13</f>
        <v>Ecopetrol SA (0,000005%)</v>
      </c>
      <c r="C11" s="209">
        <f>+VLOOKUP((A11),'BP 311220x3'!A:F,6,0)</f>
        <v>650000000</v>
      </c>
      <c r="D11" s="209"/>
      <c r="E11" s="209">
        <f t="shared" si="0"/>
        <v>650000000</v>
      </c>
      <c r="F11" s="575"/>
      <c r="G11" s="575"/>
    </row>
    <row r="12" spans="1:11" x14ac:dyDescent="0.2">
      <c r="A12" s="208">
        <f>+'BP 311220x3'!A14</f>
        <v>120521</v>
      </c>
      <c r="B12" s="208" t="str">
        <f>+'BP 311220x3'!B14</f>
        <v>Ecopetrol - ajustes al VR</v>
      </c>
      <c r="C12" s="209">
        <f>+VLOOKUP((A12),'BP 311220x3'!A:F,6,0)</f>
        <v>241429120</v>
      </c>
      <c r="D12" s="209"/>
      <c r="E12" s="209">
        <f t="shared" si="0"/>
        <v>241429120</v>
      </c>
      <c r="F12" s="575"/>
      <c r="G12" s="575"/>
      <c r="H12" s="190"/>
    </row>
    <row r="13" spans="1:11" x14ac:dyDescent="0.2">
      <c r="A13" s="208">
        <f>+'BP 311220x3'!A15</f>
        <v>120530</v>
      </c>
      <c r="B13" s="208" t="str">
        <f>+'BP 311220x3'!B15</f>
        <v>Construcciones Lvg SAS (40%)</v>
      </c>
      <c r="C13" s="209">
        <f>+VLOOKUP((A13),'BP 311220x3'!A:F,6,0)</f>
        <v>1806700000</v>
      </c>
      <c r="D13" s="209"/>
      <c r="E13" s="209">
        <f t="shared" si="0"/>
        <v>1806700000</v>
      </c>
      <c r="F13" s="575"/>
      <c r="G13" s="575"/>
    </row>
    <row r="14" spans="1:11" x14ac:dyDescent="0.2">
      <c r="A14" s="208">
        <f>+'BP 311220x3'!A16</f>
        <v>122505</v>
      </c>
      <c r="B14" s="208" t="str">
        <f>+'BP 311220x3'!B16</f>
        <v>Inversiones en CDT</v>
      </c>
      <c r="C14" s="209">
        <f>+VLOOKUP((A14),'BP 311220x3'!A:F,6,0)</f>
        <v>1200000000</v>
      </c>
      <c r="D14" s="209"/>
      <c r="E14" s="209">
        <f t="shared" si="0"/>
        <v>1200000000</v>
      </c>
      <c r="F14" s="575"/>
      <c r="G14" s="575"/>
      <c r="H14" s="190"/>
      <c r="K14" s="264" t="s">
        <v>2193</v>
      </c>
    </row>
    <row r="15" spans="1:11" x14ac:dyDescent="0.2">
      <c r="A15" s="208">
        <f>+'BP 311220x3'!A17</f>
        <v>129505</v>
      </c>
      <c r="B15" s="208" t="str">
        <f>+'BP 311220x3'!B17</f>
        <v>Derivados financieros</v>
      </c>
      <c r="C15" s="209">
        <f>+VLOOKUP((A15),'BP 311220x3'!A:F,6,0)</f>
        <v>26526324</v>
      </c>
      <c r="D15" s="209"/>
      <c r="E15" s="209">
        <f t="shared" si="0"/>
        <v>26526324</v>
      </c>
      <c r="F15" s="575"/>
      <c r="G15" s="575"/>
      <c r="H15" s="190"/>
    </row>
    <row r="16" spans="1:11" x14ac:dyDescent="0.2">
      <c r="A16" s="208">
        <f>+'BP 311220x3'!A18</f>
        <v>130505</v>
      </c>
      <c r="B16" s="208" t="str">
        <f>+'BP 311220x3'!B18</f>
        <v>Cuentas por cobrar clientes</v>
      </c>
      <c r="C16" s="209">
        <f>+VLOOKUP((A16),'BP 311220x3'!A:F,6,0)</f>
        <v>1724422030</v>
      </c>
      <c r="D16" s="209"/>
      <c r="E16" s="209">
        <f t="shared" si="0"/>
        <v>1724422030</v>
      </c>
      <c r="F16" s="575"/>
      <c r="G16" s="575"/>
      <c r="H16" s="190"/>
    </row>
    <row r="17" spans="1:9" x14ac:dyDescent="0.2">
      <c r="A17" s="208">
        <f>+'BP 311220x3'!A19</f>
        <v>132005</v>
      </c>
      <c r="B17" s="208" t="str">
        <f>+'BP 311220x3'!B19</f>
        <v>Préstamos a asociadas</v>
      </c>
      <c r="C17" s="209">
        <f>+VLOOKUP((A17),'BP 311220x3'!A:F,6,0)</f>
        <v>45000000</v>
      </c>
      <c r="D17" s="209"/>
      <c r="E17" s="209">
        <f t="shared" si="0"/>
        <v>45000000</v>
      </c>
      <c r="F17" s="575"/>
      <c r="G17" s="575"/>
      <c r="H17" s="190"/>
    </row>
    <row r="18" spans="1:9" x14ac:dyDescent="0.2">
      <c r="A18" s="208">
        <f>+'BP 311220x3'!A20</f>
        <v>133015</v>
      </c>
      <c r="B18" s="208" t="str">
        <f>+'BP 311220x3'!B20</f>
        <v xml:space="preserve">Avances para gastos de viaje </v>
      </c>
      <c r="C18" s="209">
        <f>+VLOOKUP((A18),'BP 311220x3'!A:F,6,0)</f>
        <v>6543000</v>
      </c>
      <c r="D18" s="209"/>
      <c r="E18" s="209">
        <f t="shared" si="0"/>
        <v>6543000</v>
      </c>
      <c r="F18" s="575"/>
      <c r="G18" s="575"/>
    </row>
    <row r="19" spans="1:9" x14ac:dyDescent="0.2">
      <c r="A19" s="208">
        <f>+'BP 311220x3'!A21</f>
        <v>135520</v>
      </c>
      <c r="B19" s="208" t="str">
        <f>+'BP 311220x3'!B21</f>
        <v>Saldo a favor IVA</v>
      </c>
      <c r="C19" s="209">
        <f>+VLOOKUP((A19),'BP 311220x3'!A:F,6,0)</f>
        <v>0</v>
      </c>
      <c r="D19" s="209"/>
      <c r="E19" s="209">
        <f t="shared" si="0"/>
        <v>0</v>
      </c>
      <c r="F19" s="575"/>
      <c r="G19" s="575"/>
    </row>
    <row r="20" spans="1:9" x14ac:dyDescent="0.2">
      <c r="A20" s="208">
        <f>+'BP 311220x3'!A22</f>
        <v>135515</v>
      </c>
      <c r="B20" s="208" t="str">
        <f>+'BP 311220x3'!B22</f>
        <v>Retenciones y autorretenciones</v>
      </c>
      <c r="C20" s="209">
        <f>+VLOOKUP((A20),'BP 311220x3'!A:F,6,0)</f>
        <v>0</v>
      </c>
      <c r="D20" s="209"/>
      <c r="E20" s="209">
        <f t="shared" si="0"/>
        <v>0</v>
      </c>
      <c r="F20" s="575"/>
      <c r="G20" s="575"/>
    </row>
    <row r="21" spans="1:9" x14ac:dyDescent="0.2">
      <c r="A21" s="208">
        <f>+'BP 311220x3'!A23</f>
        <v>136510</v>
      </c>
      <c r="B21" s="208" t="str">
        <f>+'BP 311220x3'!B23</f>
        <v>Prestamos gerente</v>
      </c>
      <c r="C21" s="209">
        <f>+VLOOKUP((A21),'BP 311220x3'!A:F,6,0)</f>
        <v>62957000</v>
      </c>
      <c r="D21" s="209"/>
      <c r="E21" s="209">
        <f t="shared" si="0"/>
        <v>62957000</v>
      </c>
      <c r="F21" s="575"/>
      <c r="G21" s="575"/>
    </row>
    <row r="22" spans="1:9" x14ac:dyDescent="0.2">
      <c r="A22" s="208">
        <f>+'BP 311220x3'!A24</f>
        <v>139905</v>
      </c>
      <c r="B22" s="208" t="str">
        <f>+'BP 311220x3'!B24</f>
        <v>Provisión- C x Cobrar fiscal</v>
      </c>
      <c r="C22" s="209">
        <f>+VLOOKUP((A22),'BP 311220x3'!A:F,6,0)</f>
        <v>0</v>
      </c>
      <c r="D22" s="209"/>
      <c r="E22" s="209">
        <f t="shared" si="0"/>
        <v>0</v>
      </c>
      <c r="F22" s="575"/>
      <c r="G22" s="575"/>
      <c r="H22" s="190"/>
    </row>
    <row r="23" spans="1:9" x14ac:dyDescent="0.2">
      <c r="A23" s="208">
        <f>+'BP 311220x3'!A25</f>
        <v>139906</v>
      </c>
      <c r="B23" s="208" t="str">
        <f>+'BP 311220x3'!B25</f>
        <v>Deterioro CXC - ajuste a NIIF</v>
      </c>
      <c r="C23" s="209">
        <f>+VLOOKUP((A23),'BP 311220x3'!A:F,6,0)</f>
        <v>-403327671</v>
      </c>
      <c r="D23" s="209"/>
      <c r="E23" s="209">
        <f t="shared" si="0"/>
        <v>-403327671</v>
      </c>
      <c r="F23" s="575"/>
      <c r="G23" s="575"/>
      <c r="H23" s="190"/>
    </row>
    <row r="24" spans="1:9" x14ac:dyDescent="0.2">
      <c r="A24" s="208">
        <f>+'BP 311220x3'!A26</f>
        <v>140501</v>
      </c>
      <c r="B24" s="208" t="str">
        <f>+'BP 311220x3'!B26</f>
        <v>Materia prima</v>
      </c>
      <c r="C24" s="209">
        <f>+VLOOKUP((A24),'BP 311220x3'!A:F,6,0)</f>
        <v>637356000</v>
      </c>
      <c r="D24" s="209"/>
      <c r="E24" s="209">
        <f t="shared" si="0"/>
        <v>637356000</v>
      </c>
      <c r="F24" s="575"/>
      <c r="G24" s="575"/>
    </row>
    <row r="25" spans="1:9" x14ac:dyDescent="0.2">
      <c r="A25" s="208">
        <f>+'BP 311220x3'!A27</f>
        <v>143005</v>
      </c>
      <c r="B25" s="208" t="str">
        <f>+'BP 311220x3'!B27</f>
        <v>Productos terminados</v>
      </c>
      <c r="C25" s="209">
        <f>+VLOOKUP((A25),'BP 311220x3'!A:F,6,0)</f>
        <v>524369000</v>
      </c>
      <c r="D25" s="209"/>
      <c r="E25" s="209">
        <f t="shared" si="0"/>
        <v>524369000</v>
      </c>
      <c r="F25" s="575"/>
      <c r="G25" s="575"/>
      <c r="I25" s="190"/>
    </row>
    <row r="26" spans="1:9" x14ac:dyDescent="0.2">
      <c r="A26" s="208">
        <f>+'BP 311220x3'!A28</f>
        <v>144505</v>
      </c>
      <c r="B26" s="208" t="str">
        <f>+'BP 311220x3'!B28</f>
        <v>Activo biológico- costo</v>
      </c>
      <c r="C26" s="209">
        <f>+VLOOKUP((A26),'BP 311220x3'!A:F,6,0)</f>
        <v>1479259748</v>
      </c>
      <c r="D26" s="209"/>
      <c r="E26" s="209">
        <f t="shared" si="0"/>
        <v>1479259748</v>
      </c>
      <c r="F26" s="575"/>
      <c r="G26" s="575"/>
    </row>
    <row r="27" spans="1:9" x14ac:dyDescent="0.2">
      <c r="A27" s="208">
        <f>+'BP 311220x3'!A29</f>
        <v>144597</v>
      </c>
      <c r="B27" s="208" t="str">
        <f>+'BP 311220x3'!B29</f>
        <v>Activo biológico- ajuste al valor razonable</v>
      </c>
      <c r="C27" s="209">
        <f>+VLOOKUP((A27),'BP 311220x3'!A:F,6,0)</f>
        <v>401740252</v>
      </c>
      <c r="D27" s="209"/>
      <c r="E27" s="209">
        <f t="shared" si="0"/>
        <v>401740252</v>
      </c>
      <c r="F27" s="575"/>
      <c r="G27" s="575"/>
      <c r="H27" s="190"/>
    </row>
    <row r="28" spans="1:9" x14ac:dyDescent="0.2">
      <c r="A28" s="208">
        <f>+'BP 311220x3'!A30</f>
        <v>149905</v>
      </c>
      <c r="B28" s="208" t="str">
        <f>+'BP 311220x3'!B30</f>
        <v>Deterioro de inventarios</v>
      </c>
      <c r="C28" s="209">
        <f>+VLOOKUP((A28),'BP 311220x3'!A:F,6,0)</f>
        <v>0</v>
      </c>
      <c r="D28" s="209"/>
      <c r="E28" s="209">
        <f t="shared" si="0"/>
        <v>0</v>
      </c>
      <c r="F28" s="575"/>
      <c r="G28" s="575"/>
      <c r="H28" s="190"/>
    </row>
    <row r="29" spans="1:9" x14ac:dyDescent="0.2">
      <c r="A29" s="208">
        <f>+'BP 311220x3'!A31</f>
        <v>150405</v>
      </c>
      <c r="B29" s="208" t="str">
        <f>+'BP 311220x3'!B31</f>
        <v>Terreno 1- Producción</v>
      </c>
      <c r="C29" s="209">
        <f>+VLOOKUP((A29),'BP 311220x3'!A:F,6,0)</f>
        <v>650000000</v>
      </c>
      <c r="D29" s="209"/>
      <c r="E29" s="209">
        <f t="shared" si="0"/>
        <v>650000000</v>
      </c>
      <c r="F29" s="575"/>
      <c r="G29" s="575"/>
    </row>
    <row r="30" spans="1:9" x14ac:dyDescent="0.2">
      <c r="A30" s="208">
        <f>+'BP 311220x3'!A32</f>
        <v>150407</v>
      </c>
      <c r="B30" s="208" t="str">
        <f>+'BP 311220x3'!B32</f>
        <v>Terreno, parqueadero</v>
      </c>
      <c r="C30" s="209">
        <f>+VLOOKUP((A30),'BP 311220x3'!A:F,6,0)</f>
        <v>550000000</v>
      </c>
      <c r="D30" s="209"/>
      <c r="E30" s="209">
        <f t="shared" si="0"/>
        <v>550000000</v>
      </c>
      <c r="F30" s="575"/>
      <c r="G30" s="575"/>
    </row>
    <row r="31" spans="1:9" x14ac:dyDescent="0.2">
      <c r="A31" s="208">
        <f>+'BP 311220x3'!A33</f>
        <v>150497</v>
      </c>
      <c r="B31" s="208" t="str">
        <f>+'BP 311220x3'!B33</f>
        <v>Terrenos ajustes NIIF</v>
      </c>
      <c r="C31" s="209">
        <f>+VLOOKUP((A31),'BP 311220x3'!A:F,6,0)</f>
        <v>1450000000</v>
      </c>
      <c r="D31" s="209"/>
      <c r="E31" s="209">
        <f t="shared" si="0"/>
        <v>1450000000</v>
      </c>
      <c r="F31" s="575"/>
      <c r="G31" s="575"/>
      <c r="H31" s="190"/>
    </row>
    <row r="32" spans="1:9" x14ac:dyDescent="0.2">
      <c r="A32" s="208">
        <f>+'BP 311220x3'!A34</f>
        <v>151605</v>
      </c>
      <c r="B32" s="208" t="str">
        <f>+'BP 311220x3'!B34</f>
        <v xml:space="preserve">Edificación </v>
      </c>
      <c r="C32" s="209">
        <f>+VLOOKUP((A32),'BP 311220x3'!A:F,6,0)</f>
        <v>2445000000</v>
      </c>
      <c r="D32" s="209"/>
      <c r="E32" s="209">
        <f t="shared" si="0"/>
        <v>2445000000</v>
      </c>
      <c r="F32" s="575"/>
      <c r="G32" s="575"/>
    </row>
    <row r="33" spans="1:9" x14ac:dyDescent="0.2">
      <c r="A33" s="208">
        <f>+'BP 311220x3'!A35</f>
        <v>152005</v>
      </c>
      <c r="B33" s="208" t="str">
        <f>+'BP 311220x3'!B35</f>
        <v xml:space="preserve">Maquina </v>
      </c>
      <c r="C33" s="209">
        <f>+VLOOKUP((A33),'BP 311220x3'!A:F,6,0)</f>
        <v>825265324</v>
      </c>
      <c r="D33" s="209"/>
      <c r="E33" s="209">
        <f t="shared" si="0"/>
        <v>825265324</v>
      </c>
      <c r="F33" s="575"/>
      <c r="G33" s="575"/>
    </row>
    <row r="34" spans="1:9" x14ac:dyDescent="0.2">
      <c r="A34" s="208">
        <f>+'BP 311220x3'!A36</f>
        <v>152405</v>
      </c>
      <c r="B34" s="208" t="str">
        <f>+'BP 311220x3'!B36</f>
        <v>Muebles y enseres</v>
      </c>
      <c r="C34" s="209">
        <f>+VLOOKUP((A34),'BP 311220x3'!A:F,6,0)</f>
        <v>435050949</v>
      </c>
      <c r="D34" s="209"/>
      <c r="E34" s="209">
        <f t="shared" si="0"/>
        <v>435050949</v>
      </c>
      <c r="F34" s="575"/>
      <c r="G34" s="575"/>
      <c r="I34" s="826"/>
    </row>
    <row r="35" spans="1:9" x14ac:dyDescent="0.2">
      <c r="A35" s="208">
        <f>+'BP 311220x3'!A37</f>
        <v>154010</v>
      </c>
      <c r="B35" s="208" t="str">
        <f>+'BP 311220x3'!B37</f>
        <v xml:space="preserve">Tractomula </v>
      </c>
      <c r="C35" s="209">
        <f>+VLOOKUP((A35),'BP 311220x3'!A:F,6,0)</f>
        <v>245000000</v>
      </c>
      <c r="D35" s="209"/>
      <c r="E35" s="209">
        <f t="shared" si="0"/>
        <v>245000000</v>
      </c>
      <c r="F35" s="575"/>
      <c r="G35" s="575"/>
    </row>
    <row r="36" spans="1:9" x14ac:dyDescent="0.2">
      <c r="A36" s="208">
        <f>+'BP 311220x3'!A38</f>
        <v>159205</v>
      </c>
      <c r="B36" s="208" t="str">
        <f>+'BP 311220x3'!B38</f>
        <v>Dep acumulada edificación</v>
      </c>
      <c r="C36" s="209">
        <f>+VLOOKUP((A36),'BP 311220x3'!A:F,6,0)</f>
        <v>-1711500000</v>
      </c>
      <c r="D36" s="209"/>
      <c r="E36" s="209">
        <f t="shared" si="0"/>
        <v>-1711500000</v>
      </c>
      <c r="F36" s="575"/>
      <c r="G36" s="575"/>
    </row>
    <row r="37" spans="1:9" x14ac:dyDescent="0.2">
      <c r="A37" s="208">
        <f>+'BP 311220x3'!A39</f>
        <v>159297</v>
      </c>
      <c r="B37" s="208" t="str">
        <f>+'BP 311220x3'!B39</f>
        <v>Dep acumulada edificación ajuste NIIF</v>
      </c>
      <c r="C37" s="209">
        <f>+VLOOKUP((A37),'BP 311220x3'!A:F,6,0)</f>
        <v>1515900000</v>
      </c>
      <c r="D37" s="209"/>
      <c r="E37" s="209">
        <f t="shared" si="0"/>
        <v>1515900000</v>
      </c>
      <c r="F37" s="575"/>
      <c r="G37" s="575"/>
      <c r="H37" s="190"/>
    </row>
    <row r="38" spans="1:9" x14ac:dyDescent="0.2">
      <c r="A38" s="208">
        <f>+'BP 311220x3'!A40</f>
        <v>159210</v>
      </c>
      <c r="B38" s="208" t="str">
        <f>+'BP 311220x3'!B40</f>
        <v>Dep acumulada maquinaria</v>
      </c>
      <c r="C38" s="209">
        <f>+VLOOKUP((A38),'BP 311220x3'!A:F,6,0)</f>
        <v>-577685727</v>
      </c>
      <c r="D38" s="209"/>
      <c r="E38" s="209">
        <f t="shared" si="0"/>
        <v>-577685727</v>
      </c>
      <c r="F38" s="575"/>
      <c r="G38" s="575"/>
    </row>
    <row r="39" spans="1:9" x14ac:dyDescent="0.2">
      <c r="A39" s="208">
        <f>+'BP 311220x3'!A41</f>
        <v>159215</v>
      </c>
      <c r="B39" s="208" t="str">
        <f>+'BP 311220x3'!B41</f>
        <v>Dep acumulada enseres</v>
      </c>
      <c r="C39" s="209">
        <f>+VLOOKUP((A39),'BP 311220x3'!A:F,6,0)</f>
        <v>-348040759</v>
      </c>
      <c r="D39" s="209"/>
      <c r="E39" s="209">
        <f t="shared" si="0"/>
        <v>-348040759</v>
      </c>
      <c r="F39" s="575"/>
      <c r="G39" s="575"/>
    </row>
    <row r="40" spans="1:9" x14ac:dyDescent="0.2">
      <c r="A40" s="208">
        <f>+'BP 311220x3'!A42</f>
        <v>159220</v>
      </c>
      <c r="B40" s="208" t="str">
        <f>+'BP 311220x3'!B42</f>
        <v>Dep acumulada tractomula</v>
      </c>
      <c r="C40" s="209">
        <f>+VLOOKUP((A40),'BP 311220x3'!A:F,6,0)</f>
        <v>-245000000</v>
      </c>
      <c r="D40" s="209"/>
      <c r="E40" s="209">
        <f t="shared" si="0"/>
        <v>-245000000</v>
      </c>
      <c r="F40" s="575"/>
      <c r="G40" s="575"/>
    </row>
    <row r="41" spans="1:9" x14ac:dyDescent="0.2">
      <c r="A41" s="208">
        <f>+'BP 311220x3'!A43</f>
        <v>159298</v>
      </c>
      <c r="B41" s="208" t="str">
        <f>+'BP 311220x3'!B43</f>
        <v>Dep acumulada tractomula ajuste NIIF</v>
      </c>
      <c r="C41" s="209">
        <f>+VLOOKUP((A41),'BP 311220x3'!A:F,6,0)</f>
        <v>145952381</v>
      </c>
      <c r="D41" s="209"/>
      <c r="E41" s="209">
        <f t="shared" si="0"/>
        <v>145952381</v>
      </c>
      <c r="F41" s="575"/>
      <c r="G41" s="575"/>
      <c r="H41" s="190"/>
    </row>
    <row r="42" spans="1:9" x14ac:dyDescent="0.2">
      <c r="A42" s="208">
        <f>+'BP 311220x3'!A44</f>
        <v>161010</v>
      </c>
      <c r="B42" s="208" t="str">
        <f>+'BP 311220x3'!B44</f>
        <v>Programa de contabilidad</v>
      </c>
      <c r="C42" s="209">
        <f>+VLOOKUP((A42),'BP 311220x3'!A:F,6,0)</f>
        <v>65000000</v>
      </c>
      <c r="D42" s="209"/>
      <c r="E42" s="209">
        <f t="shared" si="0"/>
        <v>65000000</v>
      </c>
      <c r="F42" s="575"/>
      <c r="G42" s="575"/>
    </row>
    <row r="43" spans="1:9" x14ac:dyDescent="0.2">
      <c r="A43" s="208">
        <f>+'BP 311220x3'!A45</f>
        <v>161098</v>
      </c>
      <c r="B43" s="208" t="str">
        <f>+'BP 311220x3'!B45</f>
        <v>Amortización</v>
      </c>
      <c r="C43" s="209">
        <f>+VLOOKUP((A43),'BP 311220x3'!A:F,6,0)</f>
        <v>-65000000</v>
      </c>
      <c r="D43" s="209"/>
      <c r="E43" s="209">
        <f t="shared" si="0"/>
        <v>-65000000</v>
      </c>
      <c r="F43" s="575"/>
      <c r="G43" s="575"/>
    </row>
    <row r="44" spans="1:9" x14ac:dyDescent="0.2">
      <c r="A44" s="208">
        <f>+'BP 311220x3'!A46</f>
        <v>170545</v>
      </c>
      <c r="B44" s="208" t="str">
        <f>+'BP 311220x3'!B46</f>
        <v>Suscripciones a revistas</v>
      </c>
      <c r="C44" s="209">
        <f>+VLOOKUP((A44),'BP 311220x3'!A:F,6,0)</f>
        <v>12123000</v>
      </c>
      <c r="D44" s="209"/>
      <c r="E44" s="209">
        <f t="shared" si="0"/>
        <v>12123000</v>
      </c>
      <c r="F44" s="575"/>
      <c r="G44" s="575"/>
    </row>
    <row r="45" spans="1:9" x14ac:dyDescent="0.2">
      <c r="A45" s="208">
        <f>+'BP 311220x3'!A47</f>
        <v>170525</v>
      </c>
      <c r="B45" s="208" t="str">
        <f>+'BP 311220x3'!B47</f>
        <v>Arrendamientos</v>
      </c>
      <c r="C45" s="209">
        <f>+VLOOKUP((A45),'BP 311220x3'!A:F,6,0)</f>
        <v>6543000</v>
      </c>
      <c r="D45" s="209"/>
      <c r="E45" s="209">
        <f t="shared" si="0"/>
        <v>6543000</v>
      </c>
      <c r="F45" s="575"/>
      <c r="G45" s="575"/>
    </row>
    <row r="46" spans="1:9" x14ac:dyDescent="0.2">
      <c r="A46" s="208">
        <f>+'BP 311220x3'!A48</f>
        <v>170520</v>
      </c>
      <c r="B46" s="208" t="str">
        <f>+'BP 311220x3'!B48</f>
        <v>Polizas de seguros</v>
      </c>
      <c r="C46" s="209">
        <f>+VLOOKUP((A46),'BP 311220x3'!A:F,6,0)</f>
        <v>7500000</v>
      </c>
      <c r="D46" s="209"/>
      <c r="E46" s="209">
        <f t="shared" si="0"/>
        <v>7500000</v>
      </c>
      <c r="F46" s="575"/>
      <c r="G46" s="575"/>
    </row>
    <row r="47" spans="1:9" x14ac:dyDescent="0.2">
      <c r="A47" s="208">
        <f>+'BP 311220x3'!A49</f>
        <v>192010</v>
      </c>
      <c r="B47" s="208" t="str">
        <f>+'BP 311220x3'!B49</f>
        <v>Propiedades de inversión</v>
      </c>
      <c r="C47" s="209">
        <f>+VLOOKUP((A47),'BP 311220x3'!A:F,6,0)</f>
        <v>700000000</v>
      </c>
      <c r="D47" s="209"/>
      <c r="E47" s="209">
        <f t="shared" si="0"/>
        <v>700000000</v>
      </c>
      <c r="F47" s="575"/>
      <c r="G47" s="575"/>
    </row>
    <row r="48" spans="1:9" x14ac:dyDescent="0.2">
      <c r="A48" s="208">
        <f>+'BP 311220x3'!A50</f>
        <v>192097</v>
      </c>
      <c r="B48" s="208" t="str">
        <f>+'BP 311220x3'!B50</f>
        <v>Propiedades de inversión ajuste NIIF</v>
      </c>
      <c r="C48" s="209">
        <f>+VLOOKUP((A48),'BP 311220x3'!A:F,6,0)</f>
        <v>1192000000</v>
      </c>
      <c r="D48" s="209"/>
      <c r="E48" s="209">
        <f t="shared" si="0"/>
        <v>1192000000</v>
      </c>
      <c r="F48" s="575"/>
      <c r="G48" s="575"/>
    </row>
    <row r="49" spans="1:8" x14ac:dyDescent="0.2">
      <c r="A49" s="208">
        <f>+'BP 311220x3'!A51</f>
        <v>172065</v>
      </c>
      <c r="B49" s="208" t="str">
        <f>+'BP 311220x3'!B51</f>
        <v>Activo x impuestos diferidos</v>
      </c>
      <c r="C49" s="209">
        <f>+VLOOKUP((A49),'BP 311220x3'!A:F,6,0)</f>
        <v>0</v>
      </c>
      <c r="D49" s="209"/>
      <c r="E49" s="209">
        <f t="shared" si="0"/>
        <v>0</v>
      </c>
      <c r="F49" s="575"/>
      <c r="G49" s="575"/>
    </row>
    <row r="50" spans="1:8" x14ac:dyDescent="0.2">
      <c r="A50" s="95"/>
      <c r="B50" s="259" t="s">
        <v>54</v>
      </c>
      <c r="C50" s="411">
        <f>SUM(C5:C49)</f>
        <v>24781741580</v>
      </c>
      <c r="D50" s="411">
        <f t="shared" ref="D50:E50" si="1">SUM(D5:D49)</f>
        <v>0</v>
      </c>
      <c r="E50" s="411">
        <f t="shared" si="1"/>
        <v>24781741580</v>
      </c>
      <c r="F50" s="409"/>
      <c r="G50" s="409"/>
    </row>
    <row r="51" spans="1:8" x14ac:dyDescent="0.2">
      <c r="A51" s="95"/>
      <c r="B51" s="95"/>
      <c r="C51" s="1067">
        <f>+C50-'Sumaria contabilidad'!C51</f>
        <v>0</v>
      </c>
    </row>
    <row r="52" spans="1:8" x14ac:dyDescent="0.2">
      <c r="A52" s="95"/>
      <c r="B52" s="204" t="s">
        <v>17</v>
      </c>
      <c r="C52" s="209"/>
    </row>
    <row r="53" spans="1:8" x14ac:dyDescent="0.2">
      <c r="A53" s="208">
        <f>+'BP 311220x3'!A55</f>
        <v>210510</v>
      </c>
      <c r="B53" s="208" t="str">
        <f>+'BP 311220x3'!B55</f>
        <v>Obligaciones financieras</v>
      </c>
      <c r="C53" s="209">
        <f>+VLOOKUP((A53),'BP 311220x3'!A:F,6,0)</f>
        <v>1414550974.1461334</v>
      </c>
      <c r="D53" s="209"/>
      <c r="E53" s="209">
        <f t="shared" ref="E53" si="2">+C53+D53</f>
        <v>1414550974.1461334</v>
      </c>
      <c r="F53" s="575"/>
      <c r="G53" s="575"/>
    </row>
    <row r="54" spans="1:8" x14ac:dyDescent="0.2">
      <c r="A54" s="208">
        <f>+'BP 311220x3'!A56</f>
        <v>220505</v>
      </c>
      <c r="B54" s="208" t="str">
        <f>+'BP 311220x3'!B56</f>
        <v>Proveedores</v>
      </c>
      <c r="C54" s="209">
        <f>+VLOOKUP((A54),'BP 311220x3'!A:F,6,0)</f>
        <v>324657000</v>
      </c>
      <c r="D54" s="209"/>
      <c r="E54" s="209">
        <f t="shared" ref="E54:E66" si="3">+C54+D54</f>
        <v>324657000</v>
      </c>
      <c r="F54" s="575"/>
      <c r="G54" s="575"/>
      <c r="H54" s="190"/>
    </row>
    <row r="55" spans="1:8" x14ac:dyDescent="0.2">
      <c r="A55" s="208">
        <f>+'BP 311220x3'!A57</f>
        <v>236595</v>
      </c>
      <c r="B55" s="208" t="str">
        <f>+'BP 311220x3'!B57</f>
        <v>Retención en la fuente</v>
      </c>
      <c r="C55" s="209">
        <f>+VLOOKUP((A55),'BP 311220x3'!A:F,6,0)</f>
        <v>11432000</v>
      </c>
      <c r="D55" s="209"/>
      <c r="E55" s="209">
        <f t="shared" si="3"/>
        <v>11432000</v>
      </c>
      <c r="F55" s="575"/>
      <c r="G55" s="575"/>
      <c r="H55" s="190"/>
    </row>
    <row r="56" spans="1:8" x14ac:dyDescent="0.2">
      <c r="A56" s="208">
        <f>+'BP 311220x3'!A58</f>
        <v>237010</v>
      </c>
      <c r="B56" s="208" t="str">
        <f>+'BP 311220x3'!B58</f>
        <v>Parafiscales por pagar</v>
      </c>
      <c r="C56" s="209">
        <f>+VLOOKUP((A56),'BP 311220x3'!A:F,6,0)</f>
        <v>36765000</v>
      </c>
      <c r="D56" s="209"/>
      <c r="E56" s="209">
        <f t="shared" si="3"/>
        <v>36765000</v>
      </c>
      <c r="F56" s="575"/>
      <c r="G56" s="575"/>
      <c r="H56" s="190"/>
    </row>
    <row r="57" spans="1:8" x14ac:dyDescent="0.2">
      <c r="A57" s="208">
        <f>+'BP 311220x3'!A59</f>
        <v>237005</v>
      </c>
      <c r="B57" s="208" t="str">
        <f>+'BP 311220x3'!B59</f>
        <v>Aportes salud y ARL</v>
      </c>
      <c r="C57" s="209">
        <f>+VLOOKUP((A57),'BP 311220x3'!A:F,6,0)</f>
        <v>56765000</v>
      </c>
      <c r="D57" s="209"/>
      <c r="E57" s="209">
        <f t="shared" si="3"/>
        <v>56765000</v>
      </c>
      <c r="F57" s="575"/>
      <c r="G57" s="575"/>
      <c r="H57" s="190"/>
    </row>
    <row r="58" spans="1:8" x14ac:dyDescent="0.2">
      <c r="A58" s="208">
        <f>+'BP 311220x3'!A60</f>
        <v>237045</v>
      </c>
      <c r="B58" s="208" t="str">
        <f>+'BP 311220x3'!B60</f>
        <v>Aportes pensión</v>
      </c>
      <c r="C58" s="209">
        <f>+VLOOKUP((A58),'BP 311220x3'!A:F,6,0)</f>
        <v>170654000</v>
      </c>
      <c r="D58" s="209"/>
      <c r="E58" s="209">
        <f t="shared" si="3"/>
        <v>170654000</v>
      </c>
      <c r="F58" s="575"/>
      <c r="G58" s="575"/>
      <c r="H58" s="190"/>
    </row>
    <row r="59" spans="1:8" x14ac:dyDescent="0.2">
      <c r="A59" s="208">
        <f>+'BP 311220x3'!A61</f>
        <v>240404</v>
      </c>
      <c r="B59" s="208" t="str">
        <f>+'BP 311220x3'!B61</f>
        <v>Impuesto de renta por pagar</v>
      </c>
      <c r="C59" s="209">
        <f>+VLOOKUP((A59),'BP 311220x3'!A:F,6,0)</f>
        <v>1735037000</v>
      </c>
      <c r="D59" s="209"/>
      <c r="E59" s="209">
        <f t="shared" si="3"/>
        <v>1735037000</v>
      </c>
      <c r="F59" s="575"/>
      <c r="G59" s="575"/>
    </row>
    <row r="60" spans="1:8" x14ac:dyDescent="0.2">
      <c r="A60" s="208">
        <f>+'BP 311220x3'!A62</f>
        <v>240801</v>
      </c>
      <c r="B60" s="208" t="str">
        <f>+'BP 311220x3'!B62</f>
        <v>Impuesto sobre las ventas - IVA</v>
      </c>
      <c r="C60" s="209">
        <f>+VLOOKUP((A60),'BP 311220x3'!A:F,6,0)</f>
        <v>415174000</v>
      </c>
      <c r="D60" s="209"/>
      <c r="E60" s="209">
        <f t="shared" si="3"/>
        <v>415174000</v>
      </c>
      <c r="F60" s="575"/>
      <c r="G60" s="575"/>
      <c r="H60" s="190"/>
    </row>
    <row r="61" spans="1:8" x14ac:dyDescent="0.2">
      <c r="A61" s="208">
        <f>+'BP 311220x3'!A63</f>
        <v>241205</v>
      </c>
      <c r="B61" s="208" t="str">
        <f>+'BP 311220x3'!B63</f>
        <v>Industria y comercio por pagar</v>
      </c>
      <c r="C61" s="209">
        <f>+VLOOKUP((A61),'BP 311220x3'!A:F,6,0)</f>
        <v>289426370.51999998</v>
      </c>
      <c r="D61" s="209"/>
      <c r="E61" s="209">
        <f t="shared" si="3"/>
        <v>289426370.51999998</v>
      </c>
      <c r="F61" s="575"/>
      <c r="G61" s="575"/>
      <c r="H61" s="190"/>
    </row>
    <row r="62" spans="1:8" x14ac:dyDescent="0.2">
      <c r="A62" s="208">
        <f>+'BP 311220x3'!A64</f>
        <v>250505</v>
      </c>
      <c r="B62" s="208" t="str">
        <f>+'BP 311220x3'!B64</f>
        <v>Pasivos laborales</v>
      </c>
      <c r="C62" s="209">
        <f>+VLOOKUP((A62),'BP 311220x3'!A:F,6,0)</f>
        <v>90319513</v>
      </c>
      <c r="D62" s="209"/>
      <c r="E62" s="209">
        <f t="shared" si="3"/>
        <v>90319513</v>
      </c>
      <c r="F62" s="575"/>
      <c r="G62" s="575"/>
      <c r="H62" s="190"/>
    </row>
    <row r="63" spans="1:8" x14ac:dyDescent="0.2">
      <c r="A63" s="208">
        <f>+'BP 311220x3'!A65</f>
        <v>263505</v>
      </c>
      <c r="B63" s="208" t="str">
        <f>+'BP 311220x3'!B65</f>
        <v xml:space="preserve">Litigios y demandas </v>
      </c>
      <c r="C63" s="209">
        <f>+VLOOKUP((A63),'BP 311220x3'!A:F,6,0)</f>
        <v>197067140</v>
      </c>
      <c r="D63" s="209"/>
      <c r="E63" s="209">
        <f t="shared" si="3"/>
        <v>197067140</v>
      </c>
      <c r="F63" s="575"/>
      <c r="G63" s="575"/>
      <c r="H63" s="190"/>
    </row>
    <row r="64" spans="1:8" x14ac:dyDescent="0.2">
      <c r="A64" s="208">
        <f>+'BP 311220x3'!A66</f>
        <v>264005</v>
      </c>
      <c r="B64" s="208" t="str">
        <f>+'BP 311220x3'!B66</f>
        <v>Garantías</v>
      </c>
      <c r="C64" s="209">
        <f>+VLOOKUP((A64),'BP 311220x3'!A:F,6,0)</f>
        <v>165743000</v>
      </c>
      <c r="D64" s="209"/>
      <c r="E64" s="209">
        <f t="shared" si="3"/>
        <v>165743000</v>
      </c>
      <c r="F64" s="575"/>
      <c r="G64" s="575"/>
      <c r="H64" s="190"/>
    </row>
    <row r="65" spans="1:8" x14ac:dyDescent="0.2">
      <c r="A65" s="208">
        <f>+'BP 311220x3'!A67</f>
        <v>210595</v>
      </c>
      <c r="B65" s="208" t="str">
        <f>+'BP 311220x3'!B67</f>
        <v>Derivados financieros</v>
      </c>
      <c r="C65" s="209">
        <f>+VLOOKUP((A65),'BP 311220x3'!A:F,6,0)</f>
        <v>37700100</v>
      </c>
      <c r="D65" s="209"/>
      <c r="E65" s="209">
        <f t="shared" si="3"/>
        <v>37700100</v>
      </c>
      <c r="F65" s="575"/>
      <c r="G65" s="575"/>
      <c r="H65" s="190"/>
    </row>
    <row r="66" spans="1:8" x14ac:dyDescent="0.2">
      <c r="A66" s="208">
        <f>+'BP 311220x3'!A68</f>
        <v>271095</v>
      </c>
      <c r="B66" s="208" t="str">
        <f>+'BP 311220x3'!B68</f>
        <v>Pasivos x impuestos diferidos</v>
      </c>
      <c r="C66" s="209">
        <f>+VLOOKUP((A66),'BP 311220x3'!A:F,6,0)</f>
        <v>0</v>
      </c>
      <c r="D66" s="209"/>
      <c r="E66" s="209">
        <f t="shared" si="3"/>
        <v>0</v>
      </c>
      <c r="F66" s="575"/>
      <c r="G66" s="575"/>
    </row>
    <row r="67" spans="1:8" x14ac:dyDescent="0.2">
      <c r="A67" s="95"/>
      <c r="B67" s="204" t="s">
        <v>55</v>
      </c>
      <c r="C67" s="411">
        <f>SUM(C53:C66)</f>
        <v>4945291097.6661339</v>
      </c>
      <c r="D67" s="411">
        <f t="shared" ref="D67:E67" si="4">SUM(D53:D66)</f>
        <v>0</v>
      </c>
      <c r="E67" s="411">
        <f t="shared" si="4"/>
        <v>4945291097.6661339</v>
      </c>
      <c r="F67" s="409"/>
      <c r="G67" s="409"/>
      <c r="H67" s="411">
        <f>+E50-E67</f>
        <v>19836450482.333866</v>
      </c>
    </row>
    <row r="68" spans="1:8" x14ac:dyDescent="0.2">
      <c r="A68" s="95"/>
      <c r="B68" s="33"/>
      <c r="C68" s="1068">
        <f>+C67-'Sumaria contabilidad'!C68</f>
        <v>0</v>
      </c>
      <c r="D68" s="409"/>
      <c r="E68" s="409"/>
      <c r="F68" s="409"/>
      <c r="G68" s="409"/>
    </row>
    <row r="69" spans="1:8" x14ac:dyDescent="0.2">
      <c r="A69" s="95"/>
      <c r="B69" s="95"/>
    </row>
    <row r="70" spans="1:8" x14ac:dyDescent="0.2">
      <c r="A70" s="95"/>
      <c r="B70" s="204" t="s">
        <v>19</v>
      </c>
      <c r="C70" s="410"/>
      <c r="D70" s="209"/>
      <c r="E70" s="209">
        <f t="shared" ref="E70:E76" si="5">+C70+D70</f>
        <v>0</v>
      </c>
      <c r="F70" s="209"/>
      <c r="G70" s="575"/>
    </row>
    <row r="71" spans="1:8" x14ac:dyDescent="0.2">
      <c r="A71" s="208">
        <f>+'BP 311220x3'!A72</f>
        <v>310505</v>
      </c>
      <c r="B71" s="208" t="str">
        <f>+'BP 311220x3'!B72</f>
        <v>Capital suscrito y pagado</v>
      </c>
      <c r="C71" s="209">
        <f>+VLOOKUP((A71),'BP 311220x3'!A:F,6,0)</f>
        <v>8500000000</v>
      </c>
      <c r="D71" s="209"/>
      <c r="E71" s="209">
        <f t="shared" ref="E71" si="6">+C71+D71</f>
        <v>8500000000</v>
      </c>
      <c r="F71" s="209"/>
      <c r="G71" s="575"/>
    </row>
    <row r="72" spans="1:8" x14ac:dyDescent="0.2">
      <c r="A72" s="208">
        <f>+'BP 311220x3'!A73</f>
        <v>330505</v>
      </c>
      <c r="B72" s="208" t="str">
        <f>+'BP 311220x3'!B73</f>
        <v>Reservas</v>
      </c>
      <c r="C72" s="209">
        <f>+VLOOKUP((A72),'BP 311220x3'!A:F,6,0)</f>
        <v>1149860138.3406308</v>
      </c>
      <c r="D72" s="209"/>
      <c r="E72" s="209">
        <f t="shared" si="5"/>
        <v>1149860138.3406308</v>
      </c>
      <c r="F72" s="209"/>
      <c r="G72" s="575"/>
    </row>
    <row r="73" spans="1:8" x14ac:dyDescent="0.2">
      <c r="A73" s="208">
        <f>+'BP 311220x3'!A74</f>
        <v>360505</v>
      </c>
      <c r="B73" s="208" t="str">
        <f>+'BP 311220x3'!B74</f>
        <v>Utilidad  del ejercicio</v>
      </c>
      <c r="C73" s="209">
        <f>+VLOOKUP((A73),'BP 311220x3'!A:F,6,0)</f>
        <v>5453581071.6709175</v>
      </c>
      <c r="D73" s="209"/>
      <c r="E73" s="209">
        <f t="shared" si="5"/>
        <v>5453581071.6709175</v>
      </c>
      <c r="F73" s="209"/>
      <c r="G73" s="575"/>
    </row>
    <row r="74" spans="1:8" x14ac:dyDescent="0.2">
      <c r="A74" s="208">
        <f>+'BP 311220x3'!A75</f>
        <v>370505</v>
      </c>
      <c r="B74" s="208" t="str">
        <f>+'BP 311220x3'!B75</f>
        <v>Resultados de ejercicios anteriores</v>
      </c>
      <c r="C74" s="209">
        <f>+VLOOKUP((A74),'BP 311220x3'!A:F,6,0)</f>
        <v>4581009272.3256769</v>
      </c>
      <c r="D74" s="209"/>
      <c r="E74" s="209">
        <f t="shared" si="5"/>
        <v>4581009272.3256769</v>
      </c>
      <c r="F74" s="209"/>
      <c r="G74" s="575"/>
    </row>
    <row r="75" spans="1:8" x14ac:dyDescent="0.2">
      <c r="A75" s="208">
        <f>+'BP 311220x3'!A76</f>
        <v>370506</v>
      </c>
      <c r="B75" s="208" t="str">
        <f>+'BP 311220x3'!B76</f>
        <v>Revalorización patrimonio</v>
      </c>
      <c r="C75" s="209">
        <f>+VLOOKUP((A75),'BP 311220x3'!A:F,6,0)</f>
        <v>152000000</v>
      </c>
      <c r="D75" s="209"/>
      <c r="E75" s="209">
        <f t="shared" si="5"/>
        <v>152000000</v>
      </c>
      <c r="F75" s="209"/>
      <c r="G75" s="575"/>
    </row>
    <row r="76" spans="1:8" x14ac:dyDescent="0.2">
      <c r="A76" s="208">
        <f>+'BP 311220x3'!A77</f>
        <v>381005</v>
      </c>
      <c r="B76" s="208" t="str">
        <f>+'BP 311220x3'!B77</f>
        <v>ORI - participación en ORI de asociadas</v>
      </c>
      <c r="C76" s="209">
        <f>+VLOOKUP((A76),'BP 311220x3'!A:F,6,0)</f>
        <v>0</v>
      </c>
      <c r="D76" s="209"/>
      <c r="E76" s="209">
        <f t="shared" si="5"/>
        <v>0</v>
      </c>
      <c r="F76" s="209"/>
      <c r="G76" s="575"/>
    </row>
    <row r="77" spans="1:8" x14ac:dyDescent="0.2">
      <c r="A77" s="208"/>
      <c r="B77" s="208"/>
      <c r="C77" s="411">
        <f>SUM(C71:C76)</f>
        <v>19836450482.337227</v>
      </c>
      <c r="D77" s="411">
        <f t="shared" ref="D77:E77" si="7">SUM(D71:D76)</f>
        <v>0</v>
      </c>
      <c r="E77" s="411">
        <f t="shared" si="7"/>
        <v>19836450482.337227</v>
      </c>
    </row>
    <row r="78" spans="1:8" x14ac:dyDescent="0.2">
      <c r="A78" s="95"/>
      <c r="B78" s="95"/>
    </row>
    <row r="79" spans="1:8" x14ac:dyDescent="0.2">
      <c r="A79" s="95"/>
      <c r="B79" s="204" t="s">
        <v>56</v>
      </c>
      <c r="C79" s="1069">
        <f>+C50-C67-C77</f>
        <v>-3.360748291015625E-3</v>
      </c>
    </row>
    <row r="80" spans="1:8" x14ac:dyDescent="0.2">
      <c r="A80" s="95"/>
      <c r="B80" s="95"/>
    </row>
    <row r="81" spans="1:14" x14ac:dyDescent="0.2">
      <c r="A81" s="95"/>
      <c r="B81" s="254"/>
    </row>
    <row r="82" spans="1:14" x14ac:dyDescent="0.2">
      <c r="A82" s="95"/>
      <c r="B82" s="95"/>
    </row>
    <row r="83" spans="1:14" x14ac:dyDescent="0.2">
      <c r="A83" s="95"/>
      <c r="B83" s="95"/>
    </row>
    <row r="84" spans="1:14" x14ac:dyDescent="0.2">
      <c r="A84" s="95"/>
      <c r="B84" s="33" t="s">
        <v>178</v>
      </c>
    </row>
    <row r="85" spans="1:14" x14ac:dyDescent="0.2">
      <c r="A85" s="95"/>
      <c r="B85" s="204" t="s">
        <v>179</v>
      </c>
    </row>
    <row r="86" spans="1:14" x14ac:dyDescent="0.2">
      <c r="A86" s="208">
        <f>+'BP 311220x3'!A86</f>
        <v>412005</v>
      </c>
      <c r="B86" s="208" t="str">
        <f>+'BP 311220x3'!B86</f>
        <v>Venta de gaseosas</v>
      </c>
      <c r="C86" s="209">
        <f>+VLOOKUP((A86),'BP 311220x3'!A:F,6,0)</f>
        <v>28976000000</v>
      </c>
      <c r="D86" s="209"/>
      <c r="E86" s="209">
        <f t="shared" ref="E86" si="8">+C86+D86</f>
        <v>28976000000</v>
      </c>
      <c r="F86" s="575"/>
      <c r="G86" s="575"/>
      <c r="N86" t="s">
        <v>2093</v>
      </c>
    </row>
    <row r="87" spans="1:14" x14ac:dyDescent="0.2">
      <c r="A87" s="208">
        <f>+'BP 311220x3'!A87</f>
        <v>410505</v>
      </c>
      <c r="B87" s="208" t="str">
        <f>+'BP 311220x3'!B87</f>
        <v>Venta de ganado y productos agropecuarios</v>
      </c>
      <c r="C87" s="209">
        <f>+VLOOKUP((A87),'BP 311220x3'!A:F,6,0)</f>
        <v>516000000</v>
      </c>
      <c r="D87" s="209"/>
      <c r="E87" s="209">
        <f t="shared" ref="E87:E101" si="9">+C87+D87</f>
        <v>516000000</v>
      </c>
      <c r="F87" s="575"/>
      <c r="G87" s="575"/>
      <c r="L87" s="190"/>
      <c r="N87" t="s">
        <v>2094</v>
      </c>
    </row>
    <row r="88" spans="1:14" x14ac:dyDescent="0.2">
      <c r="A88" s="208">
        <f>+'BP 311220x3'!A88</f>
        <v>410595</v>
      </c>
      <c r="B88" s="208" t="str">
        <f>+'BP 311220x3'!B88</f>
        <v>Variación del valor razonable de activos biológicos</v>
      </c>
      <c r="C88" s="209">
        <f>+VLOOKUP((A88),'BP 311220x3'!A:F,6,0)</f>
        <v>134067000</v>
      </c>
      <c r="D88" s="209"/>
      <c r="E88" s="209">
        <f t="shared" si="9"/>
        <v>134067000</v>
      </c>
      <c r="F88" s="575"/>
      <c r="G88" s="575"/>
      <c r="H88" s="190"/>
      <c r="L88" s="190"/>
      <c r="N88" t="s">
        <v>2095</v>
      </c>
    </row>
    <row r="89" spans="1:14" x14ac:dyDescent="0.2">
      <c r="A89" s="208">
        <f>+'BP 311220x3'!A89</f>
        <v>413505</v>
      </c>
      <c r="B89" s="208" t="str">
        <f>+'BP 311220x3'!B89</f>
        <v>Servicios de construcción</v>
      </c>
      <c r="C89" s="209">
        <f>+VLOOKUP((A89),'BP 311220x3'!A:F,6,0)</f>
        <v>615000000</v>
      </c>
      <c r="D89" s="209"/>
      <c r="E89" s="209">
        <f t="shared" si="9"/>
        <v>615000000</v>
      </c>
      <c r="F89" s="575"/>
      <c r="G89" s="575"/>
    </row>
    <row r="90" spans="1:14" x14ac:dyDescent="0.2">
      <c r="A90" s="208">
        <f>+'BP 311220x3'!A90</f>
        <v>417505</v>
      </c>
      <c r="B90" s="208" t="str">
        <f>+'BP 311220x3'!B90</f>
        <v>Devoluciones en ventas</v>
      </c>
      <c r="C90" s="209">
        <f>+VLOOKUP((A90),'BP 311220x3'!A:F,6,0)</f>
        <v>-145678000</v>
      </c>
      <c r="D90" s="209"/>
      <c r="E90" s="209">
        <f t="shared" si="9"/>
        <v>-145678000</v>
      </c>
      <c r="F90" s="575"/>
      <c r="G90" s="575"/>
    </row>
    <row r="91" spans="1:14" x14ac:dyDescent="0.2">
      <c r="A91" s="208">
        <f>+'BP 311220x3'!A91</f>
        <v>421005</v>
      </c>
      <c r="B91" s="208" t="str">
        <f>+'BP 311220x3'!B91</f>
        <v>Ingresos financieros</v>
      </c>
      <c r="C91" s="209">
        <f>+VLOOKUP((A91),'BP 311220x3'!A:F,6,0)</f>
        <v>55985000</v>
      </c>
      <c r="D91" s="209"/>
      <c r="E91" s="209">
        <f t="shared" si="9"/>
        <v>55985000</v>
      </c>
      <c r="F91" s="575"/>
      <c r="G91" s="575"/>
      <c r="H91" s="190"/>
    </row>
    <row r="92" spans="1:14" x14ac:dyDescent="0.2">
      <c r="A92" s="208">
        <f>+'BP 311220x3'!A92</f>
        <v>421095</v>
      </c>
      <c r="B92" s="208" t="str">
        <f>+'BP 311220x3'!B92</f>
        <v>Ingresos forward y swap por liquidación</v>
      </c>
      <c r="C92" s="209">
        <f>+VLOOKUP((A92),'BP 311220x3'!A:F,6,0)</f>
        <v>125326540</v>
      </c>
      <c r="D92" s="209"/>
      <c r="E92" s="209">
        <f t="shared" si="9"/>
        <v>125326540</v>
      </c>
      <c r="F92" s="575"/>
      <c r="G92" s="575"/>
    </row>
    <row r="93" spans="1:14" ht="25.5" x14ac:dyDescent="0.2">
      <c r="A93" s="208">
        <f>+'BP 311220x3'!A93</f>
        <v>431505</v>
      </c>
      <c r="B93" s="1127" t="str">
        <f>+'BP 311220x3'!B93</f>
        <v>Resultado por variación del valor razonable de derivados financieros</v>
      </c>
      <c r="C93" s="209">
        <f>+VLOOKUP((A93),'BP 311220x3'!A:F,6,0)</f>
        <v>-153172776</v>
      </c>
      <c r="D93" s="209"/>
      <c r="E93" s="209">
        <f t="shared" si="9"/>
        <v>-153172776</v>
      </c>
      <c r="F93" s="575"/>
      <c r="G93" s="575"/>
      <c r="H93" s="190"/>
    </row>
    <row r="94" spans="1:14" x14ac:dyDescent="0.2">
      <c r="A94" s="208">
        <f>+'BP 311220x3'!A94</f>
        <v>425005</v>
      </c>
      <c r="B94" s="208" t="str">
        <f>+'BP 311220x3'!B94</f>
        <v>Recuperación de deterioro fiscal</v>
      </c>
      <c r="C94" s="209">
        <f>+VLOOKUP((A94),'BP 311220x3'!A:F,6,0)</f>
        <v>456833344.63999999</v>
      </c>
      <c r="D94" s="209"/>
      <c r="E94" s="209">
        <f t="shared" si="9"/>
        <v>456833344.63999999</v>
      </c>
      <c r="F94" s="575"/>
      <c r="G94" s="575"/>
    </row>
    <row r="95" spans="1:14" x14ac:dyDescent="0.2">
      <c r="A95" s="208">
        <f>+'BP 311220x3'!A95</f>
        <v>425006</v>
      </c>
      <c r="B95" s="208" t="str">
        <f>+'BP 311220x3'!B95</f>
        <v>Recuperación de deterioro ajuste NIIF</v>
      </c>
      <c r="C95" s="209">
        <f>+VLOOKUP((A95),'BP 311220x3'!A:F,6,0)</f>
        <v>-450459303.63999999</v>
      </c>
      <c r="D95" s="209"/>
      <c r="E95" s="209">
        <f t="shared" si="9"/>
        <v>-450459303.63999999</v>
      </c>
      <c r="F95" s="575"/>
      <c r="G95" s="575"/>
      <c r="H95" s="190"/>
    </row>
    <row r="96" spans="1:14" x14ac:dyDescent="0.2">
      <c r="A96" s="208">
        <f>+'BP 311220x3'!A96</f>
        <v>421020</v>
      </c>
      <c r="B96" s="208" t="str">
        <f>+'BP 311220x3'!B96</f>
        <v>Diferencia en cambio</v>
      </c>
      <c r="C96" s="209">
        <f>+VLOOKUP((A96),'BP 311220x3'!A:F,6,0)</f>
        <v>11634000</v>
      </c>
      <c r="D96" s="209"/>
      <c r="E96" s="209">
        <f t="shared" si="9"/>
        <v>11634000</v>
      </c>
      <c r="F96" s="575"/>
      <c r="G96" s="575"/>
      <c r="H96" s="190"/>
    </row>
    <row r="97" spans="1:8" ht="25.5" x14ac:dyDescent="0.2">
      <c r="A97" s="208">
        <f>+'BP 311220x3'!A97</f>
        <v>430505</v>
      </c>
      <c r="B97" s="1127" t="str">
        <f>+'BP 311220x3'!B97</f>
        <v>Resultado por variación del valor razonable de activos financieros</v>
      </c>
      <c r="C97" s="209">
        <f>+VLOOKUP((A97),'BP 311220x3'!A:F,6,0)</f>
        <v>-128978090</v>
      </c>
      <c r="D97" s="209"/>
      <c r="E97" s="209">
        <f t="shared" si="9"/>
        <v>-128978090</v>
      </c>
      <c r="F97" s="575"/>
      <c r="G97" s="575"/>
      <c r="H97" s="190"/>
    </row>
    <row r="98" spans="1:8" ht="25.5" x14ac:dyDescent="0.2">
      <c r="A98" s="208">
        <f>+'BP 311220x3'!A98</f>
        <v>431005</v>
      </c>
      <c r="B98" s="1127" t="str">
        <f>+'BP 311220x3'!B98</f>
        <v>Resultado por variación del valor razonable de propiedades de inversión</v>
      </c>
      <c r="C98" s="209">
        <f>+VLOOKUP((A98),'BP 311220x3'!A:F,6,0)</f>
        <v>47000000</v>
      </c>
      <c r="D98" s="209"/>
      <c r="E98" s="209">
        <f t="shared" si="9"/>
        <v>47000000</v>
      </c>
      <c r="F98" s="575"/>
      <c r="G98" s="575"/>
      <c r="H98" s="190"/>
    </row>
    <row r="99" spans="1:8" x14ac:dyDescent="0.2">
      <c r="A99" s="208">
        <f>+'BP 311220x3'!A99</f>
        <v>424505</v>
      </c>
      <c r="B99" s="208" t="str">
        <f>+'BP 311220x3'!B99</f>
        <v>Resultado en venta de propiedades</v>
      </c>
      <c r="C99" s="209">
        <f>+VLOOKUP((A99),'BP 311220x3'!A:F,6,0)</f>
        <v>0</v>
      </c>
      <c r="D99" s="209"/>
      <c r="E99" s="209">
        <f t="shared" si="9"/>
        <v>0</v>
      </c>
      <c r="F99" s="575"/>
      <c r="G99" s="575"/>
    </row>
    <row r="100" spans="1:8" x14ac:dyDescent="0.2">
      <c r="A100" s="208">
        <f>+'BP 311220x3'!A100</f>
        <v>421505</v>
      </c>
      <c r="B100" s="208" t="str">
        <f>+'BP 311220x3'!B100</f>
        <v>Dividendos</v>
      </c>
      <c r="C100" s="209">
        <f>+VLOOKUP((A100),'BP 311220x3'!A:F,6,0)</f>
        <v>22000000</v>
      </c>
      <c r="D100" s="209"/>
      <c r="E100" s="209">
        <f t="shared" si="9"/>
        <v>22000000</v>
      </c>
      <c r="F100" s="575"/>
      <c r="G100" s="575"/>
      <c r="H100" s="190"/>
    </row>
    <row r="101" spans="1:8" x14ac:dyDescent="0.2">
      <c r="A101" s="208">
        <f>+'BP 311220x3'!A101</f>
        <v>422005</v>
      </c>
      <c r="B101" s="208" t="str">
        <f>+'BP 311220x3'!B101</f>
        <v>Arrendamientos</v>
      </c>
      <c r="C101" s="209">
        <f>+VLOOKUP((A101),'BP 311220x3'!A:F,6,0)</f>
        <v>62345000</v>
      </c>
      <c r="D101" s="209"/>
      <c r="E101" s="209">
        <f t="shared" si="9"/>
        <v>62345000</v>
      </c>
      <c r="F101" s="575"/>
      <c r="G101" s="575"/>
    </row>
    <row r="102" spans="1:8" x14ac:dyDescent="0.2">
      <c r="A102" s="208">
        <f>+'BP 311220x3'!A102</f>
        <v>0</v>
      </c>
      <c r="B102" s="208">
        <f>+'BP 311220x3'!B102</f>
        <v>0</v>
      </c>
      <c r="C102" s="411">
        <f>SUM(C86:C101)</f>
        <v>30143902715</v>
      </c>
      <c r="D102" s="411">
        <f t="shared" ref="D102:E102" si="10">SUM(D86:D101)</f>
        <v>0</v>
      </c>
      <c r="E102" s="411">
        <f t="shared" si="10"/>
        <v>30143902715</v>
      </c>
    </row>
    <row r="103" spans="1:8" x14ac:dyDescent="0.2">
      <c r="A103" s="95"/>
      <c r="B103" s="95"/>
      <c r="C103" s="1068">
        <f>+C102-'Sumaria contabilidad'!C84</f>
        <v>0</v>
      </c>
      <c r="D103" s="409"/>
      <c r="E103" s="409"/>
    </row>
    <row r="104" spans="1:8" x14ac:dyDescent="0.2">
      <c r="A104" s="95"/>
      <c r="B104" s="33"/>
    </row>
    <row r="105" spans="1:8" x14ac:dyDescent="0.2">
      <c r="A105" s="95"/>
      <c r="B105" s="204" t="s">
        <v>185</v>
      </c>
    </row>
    <row r="106" spans="1:8" x14ac:dyDescent="0.2">
      <c r="A106" s="208">
        <f>+'BP 311220x3'!A104</f>
        <v>612005</v>
      </c>
      <c r="B106" s="208" t="str">
        <f>+'BP 311220x3'!B104</f>
        <v>Costo de venta de bienes</v>
      </c>
      <c r="C106" s="209">
        <f>+VLOOKUP((A106),'BP 311220x3'!A:F,6,0)</f>
        <v>19904463322</v>
      </c>
      <c r="D106" s="209"/>
      <c r="E106" s="209">
        <f t="shared" ref="E106" si="11">+C106+D106</f>
        <v>19904463322</v>
      </c>
      <c r="F106" s="575"/>
      <c r="G106" s="575"/>
    </row>
    <row r="107" spans="1:8" x14ac:dyDescent="0.2">
      <c r="A107" s="208">
        <f>+'BP 311220x3'!A105</f>
        <v>610505</v>
      </c>
      <c r="B107" s="208" t="str">
        <f>+'BP 311220x3'!B105</f>
        <v>Costo productos agropecuarios</v>
      </c>
      <c r="C107" s="209">
        <f>+VLOOKUP((A107),'BP 311220x3'!A:F,6,0)</f>
        <v>274067000</v>
      </c>
      <c r="D107" s="209"/>
      <c r="E107" s="209">
        <f t="shared" ref="E107:E139" si="12">+C107+D107</f>
        <v>274067000</v>
      </c>
      <c r="F107" s="575"/>
      <c r="G107" s="575"/>
    </row>
    <row r="108" spans="1:8" x14ac:dyDescent="0.2">
      <c r="A108" s="208">
        <f>+'BP 311220x3'!A106</f>
        <v>612010</v>
      </c>
      <c r="B108" s="208" t="str">
        <f>+'BP 311220x3'!B106</f>
        <v>Costos por garantías</v>
      </c>
      <c r="C108" s="209">
        <f>+VLOOKUP((A108),'BP 311220x3'!A:F,6,0)</f>
        <v>186000000</v>
      </c>
      <c r="D108" s="209"/>
      <c r="E108" s="209">
        <f t="shared" si="12"/>
        <v>186000000</v>
      </c>
      <c r="F108" s="575"/>
      <c r="G108" s="575"/>
      <c r="H108" s="190"/>
    </row>
    <row r="109" spans="1:8" x14ac:dyDescent="0.2">
      <c r="A109" s="208">
        <f>+'BP 311220x3'!A107</f>
        <v>619810</v>
      </c>
      <c r="B109" s="208" t="str">
        <f>+'BP 311220x3'!B107</f>
        <v>Descuentos comerciales condicionados</v>
      </c>
      <c r="C109" s="209">
        <f>+VLOOKUP((A109),'BP 311220x3'!A:F,6,0)</f>
        <v>-40125000</v>
      </c>
      <c r="D109" s="209"/>
      <c r="E109" s="209">
        <f t="shared" si="12"/>
        <v>-40125000</v>
      </c>
      <c r="F109" s="575"/>
      <c r="G109" s="575"/>
    </row>
    <row r="110" spans="1:8" x14ac:dyDescent="0.2">
      <c r="A110" s="208">
        <f>+'BP 311220x3'!A108</f>
        <v>619905</v>
      </c>
      <c r="B110" s="208" t="str">
        <f>+'BP 311220x3'!B108</f>
        <v>Deterioro de inventarios</v>
      </c>
      <c r="C110" s="209">
        <f>+VLOOKUP((A110),'BP 311220x3'!A:F,6,0)</f>
        <v>-25350000</v>
      </c>
      <c r="D110" s="209"/>
      <c r="E110" s="209">
        <f t="shared" si="12"/>
        <v>-25350000</v>
      </c>
      <c r="F110" s="575"/>
      <c r="G110" s="575"/>
      <c r="H110" s="190"/>
    </row>
    <row r="111" spans="1:8" x14ac:dyDescent="0.2">
      <c r="A111" s="208">
        <f>+'BP 311220x3'!A109</f>
        <v>511505</v>
      </c>
      <c r="B111" s="208" t="str">
        <f>+'BP 311220x3'!B109</f>
        <v>Impuesto industria y comercio</v>
      </c>
      <c r="C111" s="209">
        <f>+VLOOKUP((A111),'BP 311220x3'!A:F,6,0)</f>
        <v>289426370.51999998</v>
      </c>
      <c r="D111" s="209"/>
      <c r="E111" s="209">
        <f t="shared" si="12"/>
        <v>289426370.51999998</v>
      </c>
      <c r="F111" s="575"/>
      <c r="G111" s="575"/>
      <c r="H111" s="190"/>
    </row>
    <row r="112" spans="1:8" x14ac:dyDescent="0.2">
      <c r="A112" s="208">
        <f>+'BP 311220x3'!A110</f>
        <v>510505</v>
      </c>
      <c r="B112" s="208" t="str">
        <f>+'BP 311220x3'!B110</f>
        <v>Gastos de personal</v>
      </c>
      <c r="C112" s="209">
        <f>+VLOOKUP((A112),'BP 311220x3'!A:F,6,0)</f>
        <v>325359513</v>
      </c>
      <c r="D112" s="209"/>
      <c r="E112" s="209">
        <f t="shared" si="12"/>
        <v>325359513</v>
      </c>
      <c r="F112" s="575"/>
      <c r="G112" s="575"/>
      <c r="H112" s="190"/>
    </row>
    <row r="113" spans="1:19" x14ac:dyDescent="0.2">
      <c r="A113" s="208">
        <f>+'BP 311220x3'!A111</f>
        <v>511595</v>
      </c>
      <c r="B113" s="208" t="str">
        <f>+'BP 311220x3'!B111</f>
        <v>GMF</v>
      </c>
      <c r="C113" s="209">
        <f>+VLOOKUP((A113),'BP 311220x3'!A:F,6,0)</f>
        <v>120000000</v>
      </c>
      <c r="D113" s="209"/>
      <c r="E113" s="209">
        <f t="shared" si="12"/>
        <v>120000000</v>
      </c>
      <c r="F113" s="575"/>
      <c r="G113" s="575"/>
      <c r="H113" s="190"/>
    </row>
    <row r="114" spans="1:19" x14ac:dyDescent="0.2">
      <c r="A114" s="208">
        <f>+'BP 311220x3'!A112</f>
        <v>511515</v>
      </c>
      <c r="B114" s="208" t="str">
        <f>+'BP 311220x3'!B112</f>
        <v>Impuesto predial</v>
      </c>
      <c r="C114" s="209">
        <f>+VLOOKUP((A114),'BP 311220x3'!A:F,6,0)</f>
        <v>67543000</v>
      </c>
      <c r="D114" s="209"/>
      <c r="E114" s="209">
        <f t="shared" si="12"/>
        <v>67543000</v>
      </c>
      <c r="F114" s="575"/>
      <c r="G114" s="575"/>
      <c r="H114" s="190"/>
      <c r="O114" s="190" t="s">
        <v>1004</v>
      </c>
    </row>
    <row r="115" spans="1:19" x14ac:dyDescent="0.2">
      <c r="A115" s="208">
        <f>+'BP 311220x3'!A113</f>
        <v>511590</v>
      </c>
      <c r="B115" s="208" t="str">
        <f>+'BP 311220x3'!B113</f>
        <v>Impuesto a la riqueza</v>
      </c>
      <c r="C115" s="209">
        <f>+VLOOKUP((A115),'BP 311220x3'!A:F,6,0)</f>
        <v>6543000</v>
      </c>
      <c r="D115" s="209"/>
      <c r="E115" s="209">
        <f t="shared" si="12"/>
        <v>6543000</v>
      </c>
      <c r="F115" s="575"/>
      <c r="G115" s="575"/>
      <c r="H115" s="190"/>
      <c r="Q115" s="565"/>
    </row>
    <row r="116" spans="1:19" x14ac:dyDescent="0.2">
      <c r="A116" s="208">
        <f>+'BP 311220x3'!A114</f>
        <v>511005</v>
      </c>
      <c r="B116" s="208" t="str">
        <f>+'BP 311220x3'!B114</f>
        <v>Gastos por honorarios</v>
      </c>
      <c r="C116" s="209">
        <f>+VLOOKUP((A116),'BP 311220x3'!A:F,6,0)</f>
        <v>145000000</v>
      </c>
      <c r="D116" s="209"/>
      <c r="E116" s="209">
        <f t="shared" si="12"/>
        <v>145000000</v>
      </c>
      <c r="F116" s="575"/>
      <c r="G116" s="575"/>
      <c r="H116" s="190"/>
      <c r="O116" s="190" t="s">
        <v>2068</v>
      </c>
      <c r="P116" s="565">
        <v>5000000</v>
      </c>
      <c r="R116" s="190"/>
      <c r="S116" s="190"/>
    </row>
    <row r="117" spans="1:19" x14ac:dyDescent="0.2">
      <c r="A117" s="208">
        <f>+'BP 311220x3'!A115</f>
        <v>512005</v>
      </c>
      <c r="B117" s="208" t="str">
        <f>+'BP 311220x3'!B115</f>
        <v xml:space="preserve">Gasto por arrendamientos </v>
      </c>
      <c r="C117" s="209">
        <f>+VLOOKUP((A117),'BP 311220x3'!A:F,6,0)</f>
        <v>140352000</v>
      </c>
      <c r="D117" s="209"/>
      <c r="E117" s="209">
        <f t="shared" si="12"/>
        <v>140352000</v>
      </c>
      <c r="F117" s="575"/>
      <c r="G117" s="575"/>
      <c r="O117" s="190" t="s">
        <v>2096</v>
      </c>
      <c r="Q117" s="565">
        <f>+P116</f>
        <v>5000000</v>
      </c>
    </row>
    <row r="118" spans="1:19" x14ac:dyDescent="0.2">
      <c r="A118" s="208">
        <f>+'BP 311220x3'!A116</f>
        <v>513505</v>
      </c>
      <c r="B118" s="208" t="str">
        <f>+'BP 311220x3'!B116</f>
        <v>Gastos por servicios</v>
      </c>
      <c r="C118" s="209">
        <f>+VLOOKUP((A118),'BP 311220x3'!A:F,6,0)</f>
        <v>756000000</v>
      </c>
      <c r="D118" s="209"/>
      <c r="E118" s="209">
        <f t="shared" si="12"/>
        <v>756000000</v>
      </c>
      <c r="F118" s="575"/>
      <c r="G118" s="575"/>
      <c r="Q118" s="565"/>
    </row>
    <row r="119" spans="1:19" x14ac:dyDescent="0.2">
      <c r="A119" s="208">
        <f>+'BP 311220x3'!A117</f>
        <v>514005</v>
      </c>
      <c r="B119" s="208" t="str">
        <f>+'BP 311220x3'!B117</f>
        <v>Gastos legales</v>
      </c>
      <c r="C119" s="209">
        <f>+VLOOKUP((A119),'BP 311220x3'!A:F,6,0)</f>
        <v>43125000</v>
      </c>
      <c r="D119" s="209"/>
      <c r="E119" s="209">
        <f t="shared" si="12"/>
        <v>43125000</v>
      </c>
      <c r="F119" s="575"/>
      <c r="G119" s="575"/>
      <c r="O119" s="190" t="s">
        <v>1005</v>
      </c>
      <c r="P119" s="1065"/>
      <c r="Q119" s="1065"/>
    </row>
    <row r="120" spans="1:19" x14ac:dyDescent="0.2">
      <c r="A120" s="208">
        <f>+'BP 311220x3'!A118</f>
        <v>516005</v>
      </c>
      <c r="B120" s="208" t="str">
        <f>+'BP 311220x3'!B118</f>
        <v>Gastos por depreciaciones</v>
      </c>
      <c r="C120" s="209">
        <f>+VLOOKUP((A120),'BP 311220x3'!A:F,6,0)</f>
        <v>43505095</v>
      </c>
      <c r="D120" s="209"/>
      <c r="E120" s="209">
        <f t="shared" si="12"/>
        <v>43505095</v>
      </c>
      <c r="F120" s="575"/>
      <c r="G120" s="575"/>
      <c r="O120" s="190" t="s">
        <v>2068</v>
      </c>
      <c r="P120" s="1065"/>
      <c r="Q120" s="1066">
        <f>+P116</f>
        <v>5000000</v>
      </c>
      <c r="R120" t="s">
        <v>2073</v>
      </c>
    </row>
    <row r="121" spans="1:19" x14ac:dyDescent="0.2">
      <c r="A121" s="208">
        <f>+'BP 311220x3'!A119</f>
        <v>516098</v>
      </c>
      <c r="B121" s="208" t="str">
        <f>+'BP 311220x3'!B119</f>
        <v>Gastos por depreciaciones ajuste NIIF</v>
      </c>
      <c r="C121" s="209">
        <f>+VLOOKUP((A121),'BP 311220x3'!A:F,6,0)</f>
        <v>6190476</v>
      </c>
      <c r="D121" s="209"/>
      <c r="E121" s="209">
        <f t="shared" si="12"/>
        <v>6190476</v>
      </c>
      <c r="F121" s="575"/>
      <c r="G121" s="575"/>
      <c r="H121" s="190"/>
      <c r="O121" s="190" t="s">
        <v>2069</v>
      </c>
      <c r="P121" s="1065">
        <f>+Q120</f>
        <v>5000000</v>
      </c>
      <c r="Q121" s="1065"/>
    </row>
    <row r="122" spans="1:19" x14ac:dyDescent="0.2">
      <c r="A122" s="208">
        <f>+'BP 311220x3'!A120</f>
        <v>514505</v>
      </c>
      <c r="B122" s="208" t="str">
        <f>+'BP 311220x3'!B120</f>
        <v>Mantenimientos</v>
      </c>
      <c r="C122" s="209">
        <f>+VLOOKUP((A122),'BP 311220x3'!A:F,6,0)</f>
        <v>157000000</v>
      </c>
      <c r="D122" s="209"/>
      <c r="E122" s="209">
        <f t="shared" si="12"/>
        <v>157000000</v>
      </c>
      <c r="F122" s="575"/>
      <c r="G122" s="575"/>
    </row>
    <row r="123" spans="1:19" x14ac:dyDescent="0.2">
      <c r="A123" s="208">
        <f>+'BP 311220x3'!A121</f>
        <v>513005</v>
      </c>
      <c r="B123" s="208" t="str">
        <f>+'BP 311220x3'!B121</f>
        <v>Pólizas y seguros</v>
      </c>
      <c r="C123" s="209">
        <f>+VLOOKUP((A123),'BP 311220x3'!A:F,6,0)</f>
        <v>48062000</v>
      </c>
      <c r="D123" s="209"/>
      <c r="E123" s="209">
        <f t="shared" si="12"/>
        <v>48062000</v>
      </c>
      <c r="F123" s="575"/>
      <c r="G123" s="575"/>
      <c r="O123" s="190" t="s">
        <v>2068</v>
      </c>
      <c r="P123" s="1066">
        <v>5000000</v>
      </c>
      <c r="Q123" s="1065"/>
    </row>
    <row r="124" spans="1:19" x14ac:dyDescent="0.2">
      <c r="A124" s="208">
        <f>+'BP 311220x3'!A122</f>
        <v>515505</v>
      </c>
      <c r="B124" s="208" t="str">
        <f>+'BP 311220x3'!B122</f>
        <v>Gastos de viajes</v>
      </c>
      <c r="C124" s="209">
        <f>+VLOOKUP((A124),'BP 311220x3'!A:F,6,0)</f>
        <v>54585000</v>
      </c>
      <c r="D124" s="209"/>
      <c r="E124" s="209">
        <f t="shared" si="12"/>
        <v>54585000</v>
      </c>
      <c r="F124" s="575"/>
      <c r="G124" s="575"/>
      <c r="H124" s="190"/>
      <c r="O124" s="190" t="s">
        <v>2070</v>
      </c>
      <c r="P124" s="1065">
        <f>+P123*0.19</f>
        <v>950000</v>
      </c>
      <c r="Q124" s="1065"/>
    </row>
    <row r="125" spans="1:19" x14ac:dyDescent="0.2">
      <c r="A125" s="208">
        <f>+'BP 311220x3'!A123</f>
        <v>519510</v>
      </c>
      <c r="B125" s="208" t="str">
        <f>+'BP 311220x3'!B123</f>
        <v>Gastos por suscripciones</v>
      </c>
      <c r="C125" s="209">
        <f>+VLOOKUP((A125),'BP 311220x3'!A:F,6,0)</f>
        <v>18560000</v>
      </c>
      <c r="D125" s="209"/>
      <c r="E125" s="209">
        <f t="shared" si="12"/>
        <v>18560000</v>
      </c>
      <c r="F125" s="575"/>
      <c r="G125" s="575"/>
      <c r="H125" s="190"/>
      <c r="O125" s="190" t="s">
        <v>2071</v>
      </c>
      <c r="P125" s="1065"/>
      <c r="Q125" s="1065">
        <f>+P123*2.46%</f>
        <v>123000</v>
      </c>
    </row>
    <row r="126" spans="1:19" x14ac:dyDescent="0.2">
      <c r="A126" s="208">
        <f>+'BP 311220x3'!A124</f>
        <v>516505</v>
      </c>
      <c r="B126" s="208" t="str">
        <f>+'BP 311220x3'!B124</f>
        <v>Gasto por amortización de diferidos</v>
      </c>
      <c r="C126" s="209">
        <f>+VLOOKUP((A126),'BP 311220x3'!A:F,6,0)</f>
        <v>0</v>
      </c>
      <c r="D126" s="209"/>
      <c r="E126" s="209">
        <f t="shared" si="12"/>
        <v>0</v>
      </c>
      <c r="F126" s="575"/>
      <c r="G126" s="575"/>
      <c r="O126" s="190" t="s">
        <v>2072</v>
      </c>
      <c r="P126" s="1065"/>
      <c r="Q126" s="1065">
        <f>+P123+P124-Q125</f>
        <v>5827000</v>
      </c>
    </row>
    <row r="127" spans="1:19" x14ac:dyDescent="0.2">
      <c r="A127" s="208">
        <f>+'BP 311220x3'!A125</f>
        <v>519530</v>
      </c>
      <c r="B127" s="208" t="str">
        <f>+'BP 311220x3'!B125</f>
        <v>Gastos por papelería</v>
      </c>
      <c r="C127" s="209">
        <f>+VLOOKUP((A127),'BP 311220x3'!A:F,6,0)</f>
        <v>76543000</v>
      </c>
      <c r="D127" s="209"/>
      <c r="E127" s="209">
        <f t="shared" si="12"/>
        <v>76543000</v>
      </c>
      <c r="F127" s="575"/>
      <c r="G127" s="575"/>
    </row>
    <row r="128" spans="1:19" x14ac:dyDescent="0.2">
      <c r="A128" s="208">
        <f>+'BP 311220x3'!A126</f>
        <v>519585</v>
      </c>
      <c r="B128" s="208" t="str">
        <f>+'BP 311220x3'!B126</f>
        <v>Gastos de combustibles y otros</v>
      </c>
      <c r="C128" s="209">
        <f>+VLOOKUP((A128),'BP 311220x3'!A:F,6,0)</f>
        <v>67876000</v>
      </c>
      <c r="D128" s="209"/>
      <c r="E128" s="209">
        <f t="shared" si="12"/>
        <v>67876000</v>
      </c>
      <c r="F128" s="575"/>
      <c r="G128" s="575"/>
    </row>
    <row r="129" spans="1:8" x14ac:dyDescent="0.2">
      <c r="A129" s="208">
        <f>+'BP 311220x3'!A127</f>
        <v>539505</v>
      </c>
      <c r="B129" s="208" t="str">
        <f>+'BP 311220x3'!B127</f>
        <v>Gastos por demandas</v>
      </c>
      <c r="C129" s="209">
        <f>+VLOOKUP((A129),'BP 311220x3'!A:F,6,0)</f>
        <v>77348871</v>
      </c>
      <c r="D129" s="209"/>
      <c r="E129" s="209">
        <f t="shared" si="12"/>
        <v>77348871</v>
      </c>
      <c r="F129" s="575"/>
      <c r="G129" s="575"/>
      <c r="H129" s="190"/>
    </row>
    <row r="130" spans="1:8" x14ac:dyDescent="0.2">
      <c r="A130" s="208">
        <f>+'BP 311220x3'!A128</f>
        <v>516510</v>
      </c>
      <c r="B130" s="208" t="str">
        <f>+'BP 311220x3'!B128</f>
        <v>Amortización intangibles</v>
      </c>
      <c r="C130" s="209">
        <f>+VLOOKUP((A130),'BP 311220x3'!A:F,6,0)</f>
        <v>13000000</v>
      </c>
      <c r="D130" s="209"/>
      <c r="E130" s="209">
        <f t="shared" si="12"/>
        <v>13000000</v>
      </c>
      <c r="F130" s="575"/>
      <c r="G130" s="575"/>
    </row>
    <row r="131" spans="1:8" x14ac:dyDescent="0.2">
      <c r="A131" s="208">
        <f>+'BP 311220x3'!A129</f>
        <v>519905</v>
      </c>
      <c r="B131" s="208" t="str">
        <f>+'BP 311220x3'!B129</f>
        <v>Deterioro de cuentas por cobrar fiscal</v>
      </c>
      <c r="C131" s="209">
        <f>+VLOOKUP((A131),'BP 311220x3'!A:F,6,0)</f>
        <v>0</v>
      </c>
      <c r="D131" s="209"/>
      <c r="E131" s="209">
        <f t="shared" si="12"/>
        <v>0</v>
      </c>
      <c r="F131" s="575"/>
      <c r="G131" s="575"/>
    </row>
    <row r="132" spans="1:8" x14ac:dyDescent="0.2">
      <c r="A132" s="208">
        <f>+'BP 311220x3'!A130</f>
        <v>519906</v>
      </c>
      <c r="B132" s="208" t="str">
        <f>+'BP 311220x3'!B130</f>
        <v>Deterioro de cuentas por cobrar ajuste NIIF</v>
      </c>
      <c r="C132" s="209">
        <f>+VLOOKUP((A132),'BP 311220x3'!A:F,6,0)</f>
        <v>0</v>
      </c>
      <c r="D132" s="209"/>
      <c r="E132" s="209">
        <f t="shared" si="12"/>
        <v>0</v>
      </c>
      <c r="F132" s="575"/>
      <c r="G132" s="575"/>
    </row>
    <row r="133" spans="1:8" x14ac:dyDescent="0.2">
      <c r="A133" s="208">
        <f>+'BP 311220x3'!A131</f>
        <v>530505</v>
      </c>
      <c r="B133" s="208" t="str">
        <f>+'BP 311220x3'!B131</f>
        <v>Gastos bancarios y comisiones</v>
      </c>
      <c r="C133" s="209">
        <f>+VLOOKUP((A133),'BP 311220x3'!A:F,6,0)</f>
        <v>13456000</v>
      </c>
      <c r="D133" s="209"/>
      <c r="E133" s="209">
        <f t="shared" si="12"/>
        <v>13456000</v>
      </c>
      <c r="F133" s="575"/>
      <c r="G133" s="575"/>
    </row>
    <row r="134" spans="1:8" x14ac:dyDescent="0.2">
      <c r="A134" s="208">
        <f>+'BP 311220x3'!A132</f>
        <v>530520</v>
      </c>
      <c r="B134" s="208" t="str">
        <f>+'BP 311220x3'!B132</f>
        <v>Gastos financieros</v>
      </c>
      <c r="C134" s="209">
        <f>+VLOOKUP((A134),'BP 311220x3'!A:F,6,0)</f>
        <v>255228597</v>
      </c>
      <c r="D134" s="209"/>
      <c r="E134" s="209">
        <f t="shared" si="12"/>
        <v>255228597</v>
      </c>
      <c r="F134" s="575"/>
      <c r="G134" s="575"/>
      <c r="H134" s="190"/>
    </row>
    <row r="135" spans="1:8" x14ac:dyDescent="0.2">
      <c r="A135" s="208">
        <f>+'BP 311220x3'!A133</f>
        <v>530521</v>
      </c>
      <c r="B135" s="208" t="str">
        <f>+'BP 311220x3'!B133</f>
        <v>Intereses- actualización de provisiones</v>
      </c>
      <c r="C135" s="209">
        <f>+VLOOKUP((A135),'BP 311220x3'!A:F,6,0)</f>
        <v>15332441</v>
      </c>
      <c r="D135" s="209"/>
      <c r="E135" s="209">
        <f t="shared" si="12"/>
        <v>15332441</v>
      </c>
      <c r="F135" s="575"/>
      <c r="G135" s="575"/>
      <c r="H135" s="190"/>
    </row>
    <row r="136" spans="1:8" x14ac:dyDescent="0.2">
      <c r="A136" s="208">
        <f>+'BP 311220x3'!A134</f>
        <v>530522</v>
      </c>
      <c r="B136" s="208" t="str">
        <f>+'BP 311220x3'!B134</f>
        <v>Gastos financieros - costos de transacción</v>
      </c>
      <c r="C136" s="209">
        <f>+VLOOKUP((A136),'BP 311220x3'!A:F,6,0)</f>
        <v>20591301</v>
      </c>
      <c r="D136" s="209"/>
      <c r="E136" s="209">
        <f t="shared" si="12"/>
        <v>20591301</v>
      </c>
      <c r="F136" s="575"/>
      <c r="G136" s="575"/>
    </row>
    <row r="137" spans="1:8" x14ac:dyDescent="0.2">
      <c r="A137" s="208">
        <f>+'BP 311220x3'!A135</f>
        <v>540505</v>
      </c>
      <c r="B137" s="208" t="str">
        <f>+'BP 311220x3'!B135</f>
        <v>Gasto impuesto ganancias corriente</v>
      </c>
      <c r="C137" s="209">
        <f>+VLOOKUP((A137),'BP 311220x3'!A:F,6,0)</f>
        <v>2479477000</v>
      </c>
      <c r="D137" s="209"/>
      <c r="E137" s="209">
        <f t="shared" si="12"/>
        <v>2479477000</v>
      </c>
      <c r="F137" s="575"/>
      <c r="G137" s="575"/>
    </row>
    <row r="138" spans="1:8" x14ac:dyDescent="0.2">
      <c r="A138" s="208">
        <f>+'BP 311220x3'!A136</f>
        <v>540510</v>
      </c>
      <c r="B138" s="208" t="str">
        <f>+'BP 311220x3'!B136</f>
        <v>Gasto impuesto ganancias diferido</v>
      </c>
      <c r="C138" s="209">
        <f>+VLOOKUP((A138),'BP 311220x3'!A:F,6,0)</f>
        <v>-848838343.1909194</v>
      </c>
      <c r="D138" s="209"/>
      <c r="E138" s="209">
        <f t="shared" si="12"/>
        <v>-848838343.1909194</v>
      </c>
      <c r="F138" s="575"/>
      <c r="G138" s="575"/>
    </row>
    <row r="139" spans="1:8" x14ac:dyDescent="0.2">
      <c r="A139" s="208">
        <f>+'BP 311220x3'!A137</f>
        <v>540515</v>
      </c>
      <c r="B139" s="208" t="str">
        <f>+'BP 311220x3'!B137</f>
        <v>Variaciones impuesto periodos anteriores</v>
      </c>
      <c r="C139" s="209">
        <f>+VLOOKUP((A139),'BP 311220x3'!A:F,6,0)</f>
        <v>0</v>
      </c>
      <c r="D139" s="209"/>
      <c r="E139" s="209">
        <f t="shared" si="12"/>
        <v>0</v>
      </c>
      <c r="F139" s="575"/>
      <c r="G139" s="575"/>
    </row>
    <row r="140" spans="1:8" x14ac:dyDescent="0.2">
      <c r="A140" s="95"/>
      <c r="B140" s="204" t="s">
        <v>193</v>
      </c>
      <c r="C140" s="411">
        <f>SUM(C106:C139)</f>
        <v>24690321643.329082</v>
      </c>
      <c r="D140" s="411">
        <f>SUM(D106:D139)</f>
        <v>0</v>
      </c>
      <c r="E140" s="411">
        <f>SUM(E106:E139)</f>
        <v>24690321643.329082</v>
      </c>
    </row>
    <row r="141" spans="1:8" x14ac:dyDescent="0.2">
      <c r="A141" s="95"/>
      <c r="B141" s="95"/>
      <c r="C141" s="1067">
        <f>+C140-'Sumaria contabilidad'!C102</f>
        <v>0</v>
      </c>
    </row>
    <row r="142" spans="1:8" x14ac:dyDescent="0.2">
      <c r="A142" s="95"/>
      <c r="B142" s="95"/>
    </row>
    <row r="143" spans="1:8" x14ac:dyDescent="0.2">
      <c r="A143" s="95"/>
      <c r="B143" s="95"/>
    </row>
    <row r="144" spans="1:8" x14ac:dyDescent="0.2">
      <c r="A144" s="95"/>
      <c r="B144" s="204" t="s">
        <v>223</v>
      </c>
    </row>
    <row r="145" spans="1:7" x14ac:dyDescent="0.2">
      <c r="A145" s="208">
        <f>+'BP 311220x3'!A143</f>
        <v>799999</v>
      </c>
      <c r="B145" s="208" t="str">
        <f>+'BP 311220x3'!B143</f>
        <v>CP reclasificación a costos de ventas</v>
      </c>
      <c r="C145" s="209">
        <f>+VLOOKUP((A145),'BP 311220x3'!A:F,6,0)</f>
        <v>-19856802322</v>
      </c>
      <c r="D145" s="209"/>
      <c r="E145" s="209">
        <f>-SUM(E146:E151)</f>
        <v>-19856802322</v>
      </c>
      <c r="F145" s="209"/>
      <c r="G145" s="209"/>
    </row>
    <row r="146" spans="1:7" x14ac:dyDescent="0.2">
      <c r="A146" s="208">
        <f>+'BP 311220x3'!A144</f>
        <v>710505</v>
      </c>
      <c r="B146" s="208" t="str">
        <f>+'BP 311220x3'!B144</f>
        <v>CP materias primas</v>
      </c>
      <c r="C146" s="209">
        <f>+VLOOKUP((A146),'BP 311220x3'!A:F,6,0)</f>
        <v>11212019000</v>
      </c>
      <c r="D146" s="209"/>
      <c r="E146" s="209">
        <f t="shared" ref="E146:E151" si="13">+C146+D146</f>
        <v>11212019000</v>
      </c>
      <c r="F146" s="209"/>
      <c r="G146" s="209"/>
    </row>
    <row r="147" spans="1:7" x14ac:dyDescent="0.2">
      <c r="A147" s="208">
        <f>+'BP 311220x3'!A145</f>
        <v>736005</v>
      </c>
      <c r="B147" s="208" t="str">
        <f>+'BP 311220x3'!B145</f>
        <v>CP depreciación</v>
      </c>
      <c r="C147" s="209">
        <f>+VLOOKUP((A147),'BP 311220x3'!A:F,6,0)</f>
        <v>204776533</v>
      </c>
      <c r="D147" s="209"/>
      <c r="E147" s="209">
        <f t="shared" si="13"/>
        <v>204776533</v>
      </c>
      <c r="F147" s="209"/>
      <c r="G147" s="209"/>
    </row>
    <row r="148" spans="1:7" x14ac:dyDescent="0.2">
      <c r="A148" s="208">
        <f>+'BP 311220x3'!A146</f>
        <v>736098</v>
      </c>
      <c r="B148" s="208" t="str">
        <f>+'BP 311220x3'!B146</f>
        <v>CP depreciación NIIF</v>
      </c>
      <c r="C148" s="209">
        <f>+VLOOKUP((A148),'BP 311220x3'!A:F,6,0)</f>
        <v>-73350000</v>
      </c>
      <c r="D148" s="209"/>
      <c r="E148" s="209">
        <f t="shared" si="13"/>
        <v>-73350000</v>
      </c>
      <c r="F148" s="209"/>
      <c r="G148" s="209"/>
    </row>
    <row r="149" spans="1:7" x14ac:dyDescent="0.2">
      <c r="A149" s="208">
        <f>+'BP 311220x3'!A147</f>
        <v>733005</v>
      </c>
      <c r="B149" s="208" t="str">
        <f>+'BP 311220x3'!B147</f>
        <v>CP seguros</v>
      </c>
      <c r="C149" s="209">
        <f>+VLOOKUP((A149),'BP 311220x3'!A:F,6,0)</f>
        <v>422356789</v>
      </c>
      <c r="D149" s="209"/>
      <c r="E149" s="209">
        <f t="shared" si="13"/>
        <v>422356789</v>
      </c>
      <c r="F149" s="209"/>
      <c r="G149" s="209"/>
    </row>
    <row r="150" spans="1:7" x14ac:dyDescent="0.2">
      <c r="A150" s="208">
        <f>+'BP 311220x3'!A148</f>
        <v>720505</v>
      </c>
      <c r="B150" s="208" t="str">
        <f>+'BP 311220x3'!B148</f>
        <v>CP servicios de personal temporal</v>
      </c>
      <c r="C150" s="209">
        <f>+VLOOKUP((A150),'BP 311220x3'!A:F,6,0)</f>
        <v>6158000000</v>
      </c>
      <c r="D150" s="209"/>
      <c r="E150" s="209">
        <f t="shared" si="13"/>
        <v>6158000000</v>
      </c>
      <c r="F150" s="209"/>
      <c r="G150" s="209"/>
    </row>
    <row r="151" spans="1:7" x14ac:dyDescent="0.2">
      <c r="A151" s="208">
        <f>+'BP 311220x3'!A149</f>
        <v>738005</v>
      </c>
      <c r="B151" s="208" t="str">
        <f>+'BP 311220x3'!B149</f>
        <v>CP otros CIF</v>
      </c>
      <c r="C151" s="209">
        <f>+VLOOKUP((A151),'BP 311220x3'!A:F,6,0)</f>
        <v>1933000000</v>
      </c>
      <c r="D151" s="209"/>
      <c r="E151" s="209">
        <f t="shared" si="13"/>
        <v>1933000000</v>
      </c>
      <c r="F151" s="209"/>
      <c r="G151" s="209"/>
    </row>
    <row r="152" spans="1:7" x14ac:dyDescent="0.2">
      <c r="A152" s="208">
        <f>+'BP 311220x3'!A150</f>
        <v>0</v>
      </c>
      <c r="B152" s="208">
        <f>+'BP 311220x3'!B150</f>
        <v>0</v>
      </c>
      <c r="C152" s="212">
        <f>SUM(C145:C151)</f>
        <v>0</v>
      </c>
      <c r="D152" s="212">
        <f t="shared" ref="D152:E152" si="14">SUM(D145:D151)</f>
        <v>0</v>
      </c>
      <c r="E152" s="212">
        <f t="shared" si="14"/>
        <v>0</v>
      </c>
    </row>
    <row r="153" spans="1:7" x14ac:dyDescent="0.2">
      <c r="A153" s="95"/>
      <c r="B153" s="95"/>
    </row>
    <row r="154" spans="1:7" x14ac:dyDescent="0.2">
      <c r="A154" s="95"/>
      <c r="B154" s="95"/>
    </row>
    <row r="155" spans="1:7" x14ac:dyDescent="0.2">
      <c r="A155" s="95"/>
      <c r="B155" s="95"/>
    </row>
    <row r="156" spans="1:7" x14ac:dyDescent="0.2">
      <c r="A156" s="95"/>
      <c r="B156" s="95"/>
    </row>
    <row r="157" spans="1:7" x14ac:dyDescent="0.2">
      <c r="A157" s="95"/>
      <c r="B157" s="95"/>
    </row>
    <row r="158" spans="1:7" x14ac:dyDescent="0.2">
      <c r="A158" s="95"/>
      <c r="B158" s="95"/>
    </row>
    <row r="159" spans="1:7" x14ac:dyDescent="0.2">
      <c r="A159" s="95"/>
      <c r="B159" s="95"/>
    </row>
    <row r="160" spans="1:7" x14ac:dyDescent="0.2">
      <c r="A160" s="95"/>
      <c r="B160" s="95"/>
    </row>
    <row r="161" spans="1:4" x14ac:dyDescent="0.2">
      <c r="A161" s="95"/>
      <c r="B161" s="95"/>
    </row>
    <row r="162" spans="1:4" x14ac:dyDescent="0.2">
      <c r="A162" s="95"/>
      <c r="B162" s="95"/>
    </row>
    <row r="163" spans="1:4" x14ac:dyDescent="0.2">
      <c r="A163" s="95"/>
      <c r="B163" s="95"/>
    </row>
    <row r="164" spans="1:4" x14ac:dyDescent="0.2">
      <c r="A164" s="95"/>
      <c r="B164" s="95"/>
    </row>
    <row r="165" spans="1:4" x14ac:dyDescent="0.2">
      <c r="A165" s="95"/>
      <c r="B165" s="95"/>
    </row>
    <row r="166" spans="1:4" x14ac:dyDescent="0.2">
      <c r="A166" s="95"/>
      <c r="B166" s="95"/>
    </row>
    <row r="167" spans="1:4" x14ac:dyDescent="0.2">
      <c r="A167" s="95"/>
      <c r="B167" s="95"/>
    </row>
    <row r="168" spans="1:4" x14ac:dyDescent="0.2">
      <c r="A168" s="95"/>
      <c r="B168" s="95"/>
    </row>
    <row r="169" spans="1:4" x14ac:dyDescent="0.2">
      <c r="A169" s="95"/>
      <c r="B169" s="95"/>
    </row>
    <row r="170" spans="1:4" x14ac:dyDescent="0.2">
      <c r="A170" s="95"/>
      <c r="B170" s="95"/>
      <c r="D170" s="565"/>
    </row>
    <row r="171" spans="1:4" x14ac:dyDescent="0.2">
      <c r="A171" s="95"/>
      <c r="B171" s="95"/>
      <c r="D171" s="565"/>
    </row>
    <row r="172" spans="1:4" x14ac:dyDescent="0.2">
      <c r="A172" s="95"/>
      <c r="B172" s="95"/>
      <c r="D172" s="565"/>
    </row>
    <row r="173" spans="1:4" x14ac:dyDescent="0.2">
      <c r="A173" s="95"/>
      <c r="B173" s="95"/>
      <c r="D173" s="565"/>
    </row>
    <row r="174" spans="1:4" x14ac:dyDescent="0.2">
      <c r="A174" s="95"/>
      <c r="B174" s="95"/>
      <c r="D174" s="565"/>
    </row>
    <row r="175" spans="1:4" x14ac:dyDescent="0.2">
      <c r="D175" s="565"/>
    </row>
    <row r="176" spans="1:4" x14ac:dyDescent="0.2">
      <c r="D176" s="565"/>
    </row>
    <row r="178" spans="4:5" x14ac:dyDescent="0.2">
      <c r="D178" s="565"/>
    </row>
    <row r="182" spans="4:5" x14ac:dyDescent="0.2">
      <c r="E182" s="1065"/>
    </row>
    <row r="183" spans="4:5" x14ac:dyDescent="0.2">
      <c r="D183" s="1065"/>
    </row>
    <row r="185" spans="4:5" x14ac:dyDescent="0.2">
      <c r="D185" s="565"/>
    </row>
    <row r="187" spans="4:5" x14ac:dyDescent="0.2">
      <c r="D187" s="565"/>
    </row>
    <row r="189" spans="4:5" x14ac:dyDescent="0.2">
      <c r="D189" s="1065"/>
    </row>
    <row r="190" spans="4:5" x14ac:dyDescent="0.2">
      <c r="D190" s="1065"/>
    </row>
    <row r="191" spans="4:5" x14ac:dyDescent="0.2">
      <c r="D191" s="565"/>
    </row>
    <row r="210" spans="4:4" x14ac:dyDescent="0.2">
      <c r="D210" s="565"/>
    </row>
  </sheetData>
  <hyperlinks>
    <hyperlink ref="K14" r:id="rId1" xr:uid="{A3AB7FC1-F746-46D3-903F-E3BC13AD84C5}"/>
  </hyperlinks>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X988"/>
  <sheetViews>
    <sheetView showGridLines="0" topLeftCell="A48" zoomScale="120" zoomScaleNormal="120" workbookViewId="0">
      <selection activeCell="F934" sqref="F934"/>
    </sheetView>
  </sheetViews>
  <sheetFormatPr baseColWidth="10" defaultRowHeight="12.75" outlineLevelRow="1" x14ac:dyDescent="0.2"/>
  <cols>
    <col min="1" max="1" width="6.5703125" style="190" bestFit="1" customWidth="1"/>
    <col min="2" max="2" width="2.42578125" style="190" customWidth="1"/>
    <col min="3" max="5" width="11.42578125" style="190"/>
    <col min="6" max="6" width="18.85546875" style="190" customWidth="1"/>
    <col min="7" max="7" width="16.42578125" style="190" customWidth="1"/>
    <col min="8" max="12" width="15.7109375" style="190" customWidth="1"/>
    <col min="13" max="13" width="16.140625" style="190" customWidth="1"/>
    <col min="14" max="14" width="13.28515625" style="190" bestFit="1" customWidth="1"/>
    <col min="15" max="16384" width="11.42578125" style="190"/>
  </cols>
  <sheetData>
    <row r="1" spans="1:50" x14ac:dyDescent="0.2">
      <c r="A1" s="1144"/>
      <c r="B1" s="1144"/>
      <c r="C1" s="1144"/>
      <c r="D1" s="1144"/>
      <c r="E1" s="1144"/>
      <c r="F1" s="1144"/>
      <c r="G1" s="1144"/>
      <c r="H1" s="1144"/>
      <c r="I1" s="1144"/>
      <c r="J1" s="1144"/>
      <c r="K1" s="1144"/>
      <c r="L1" s="1144"/>
      <c r="M1" s="1144"/>
      <c r="N1" s="1144"/>
      <c r="O1" s="1144"/>
      <c r="P1" s="1144"/>
      <c r="Q1" s="1144"/>
      <c r="R1" s="1144"/>
      <c r="S1" s="1144"/>
      <c r="T1" s="1144"/>
      <c r="U1" s="1144"/>
      <c r="V1" s="1144"/>
      <c r="W1" s="1144"/>
      <c r="X1" s="1144"/>
      <c r="Y1" s="1144"/>
      <c r="Z1" s="1144"/>
      <c r="AA1" s="1144"/>
      <c r="AB1" s="1144"/>
      <c r="AC1" s="1144"/>
      <c r="AD1" s="1144"/>
      <c r="AE1" s="1144"/>
      <c r="AF1" s="1144"/>
      <c r="AG1" s="1144"/>
      <c r="AH1" s="1144"/>
      <c r="AI1" s="1144"/>
      <c r="AJ1" s="1144"/>
      <c r="AK1" s="1144"/>
      <c r="AL1" s="1144"/>
      <c r="AM1" s="1144"/>
      <c r="AN1" s="1144"/>
      <c r="AO1" s="1144"/>
      <c r="AP1" s="1144"/>
      <c r="AQ1" s="1144"/>
      <c r="AR1" s="1144"/>
      <c r="AS1" s="1144"/>
      <c r="AT1" s="1144"/>
      <c r="AU1" s="1144"/>
      <c r="AV1" s="1144"/>
      <c r="AW1" s="1144"/>
      <c r="AX1" s="1144"/>
    </row>
    <row r="2" spans="1:50" s="192" customFormat="1" x14ac:dyDescent="0.2">
      <c r="C2" s="1663" t="s">
        <v>2204</v>
      </c>
      <c r="D2" s="1663"/>
      <c r="E2" s="1663"/>
      <c r="F2" s="1663"/>
      <c r="G2" s="1663"/>
      <c r="H2" s="192" t="s">
        <v>1407</v>
      </c>
      <c r="I2" s="192" t="s">
        <v>1408</v>
      </c>
      <c r="J2" s="192" t="s">
        <v>1409</v>
      </c>
      <c r="K2" s="192" t="s">
        <v>1410</v>
      </c>
      <c r="L2" s="192" t="s">
        <v>1411</v>
      </c>
    </row>
    <row r="3" spans="1:50" ht="89.25" outlineLevel="1" x14ac:dyDescent="0.2">
      <c r="A3" s="1112" t="s">
        <v>2034</v>
      </c>
      <c r="B3" s="1112"/>
      <c r="C3" s="1493" t="s">
        <v>2064</v>
      </c>
      <c r="D3" s="1494"/>
      <c r="E3" s="1494"/>
      <c r="F3" s="1494"/>
      <c r="G3" s="1494"/>
      <c r="H3" s="1112" t="s">
        <v>2065</v>
      </c>
      <c r="I3" s="1112" t="s">
        <v>1408</v>
      </c>
      <c r="J3" s="1112" t="s">
        <v>1409</v>
      </c>
      <c r="K3" s="1112" t="s">
        <v>1410</v>
      </c>
      <c r="L3" s="1112" t="s">
        <v>1411</v>
      </c>
    </row>
    <row r="4" spans="1:50" outlineLevel="1" x14ac:dyDescent="0.2">
      <c r="A4" s="1128"/>
      <c r="B4" s="840"/>
      <c r="C4" s="195"/>
      <c r="D4" s="1495" t="s">
        <v>1412</v>
      </c>
      <c r="E4" s="1496"/>
      <c r="F4" s="1496"/>
      <c r="G4" s="1497"/>
      <c r="H4" s="836"/>
      <c r="I4" s="836"/>
      <c r="J4" s="836"/>
      <c r="K4" s="836"/>
      <c r="L4" s="836"/>
    </row>
    <row r="5" spans="1:50" outlineLevel="1" x14ac:dyDescent="0.2">
      <c r="A5" s="835"/>
      <c r="B5" s="840"/>
      <c r="C5" s="839"/>
      <c r="D5" s="1517" t="s">
        <v>1149</v>
      </c>
      <c r="E5" s="1518"/>
      <c r="F5" s="1518"/>
      <c r="G5" s="1519"/>
      <c r="H5" s="1115">
        <f>SUM(H6:H8)</f>
        <v>0</v>
      </c>
      <c r="I5" s="1115">
        <f t="shared" ref="I5:L5" si="0">SUM(I6:I8)</f>
        <v>0</v>
      </c>
      <c r="J5" s="1115">
        <f t="shared" si="0"/>
        <v>0</v>
      </c>
      <c r="K5" s="1115">
        <f t="shared" si="0"/>
        <v>0</v>
      </c>
      <c r="L5" s="1115">
        <f t="shared" si="0"/>
        <v>0</v>
      </c>
      <c r="M5" s="1161">
        <f>+L5-'110 Renta 20x3'!Q24</f>
        <v>0</v>
      </c>
    </row>
    <row r="6" spans="1:50" outlineLevel="1" x14ac:dyDescent="0.2">
      <c r="A6" s="835">
        <v>3</v>
      </c>
      <c r="B6" s="840"/>
      <c r="C6" s="841"/>
      <c r="D6" s="1498" t="s">
        <v>1413</v>
      </c>
      <c r="E6" s="1499"/>
      <c r="F6" s="1499"/>
      <c r="G6" s="1501"/>
      <c r="H6" s="1105">
        <f>+SUMIF('Sumaria renta 20x3'!G:G,'2516 20x3'!A6,'Sumaria renta 20x3'!C:C)</f>
        <v>0</v>
      </c>
      <c r="I6" s="843"/>
      <c r="J6" s="842">
        <f>+IF((H6&gt;L6),(H6-L6),0)</f>
        <v>0</v>
      </c>
      <c r="K6" s="842">
        <f>+IF((H6&lt;L6),(L6-H6),0)</f>
        <v>0</v>
      </c>
      <c r="L6" s="842">
        <f>+SUMIF('Sumaria renta 20x3'!G:G,'2516 20x3'!A6,'Sumaria renta 20x3'!E:E)</f>
        <v>0</v>
      </c>
    </row>
    <row r="7" spans="1:50" outlineLevel="1" x14ac:dyDescent="0.2">
      <c r="A7" s="835">
        <v>4</v>
      </c>
      <c r="B7" s="840"/>
      <c r="C7" s="1145"/>
      <c r="D7" s="1498" t="s">
        <v>1414</v>
      </c>
      <c r="E7" s="1499"/>
      <c r="F7" s="1499"/>
      <c r="G7" s="1501"/>
      <c r="H7" s="1105">
        <f>+SUMIF('Sumaria renta 20x3'!G:G,'2516 20x3'!A7,'Sumaria renta 20x3'!C:C)</f>
        <v>0</v>
      </c>
      <c r="I7" s="843"/>
      <c r="J7" s="842">
        <f t="shared" ref="J7:J8" si="1">+IF((H7&gt;L7),(H7-L7),0)</f>
        <v>0</v>
      </c>
      <c r="K7" s="842">
        <f t="shared" ref="K7:K8" si="2">+IF((H7&lt;L7),(L7-H7),0)</f>
        <v>0</v>
      </c>
      <c r="L7" s="842">
        <f>+SUMIF('Sumaria renta 20x3'!G:G,'2516 20x3'!A7,'Sumaria renta 20x3'!E:E)</f>
        <v>0</v>
      </c>
    </row>
    <row r="8" spans="1:50" outlineLevel="1" x14ac:dyDescent="0.2">
      <c r="A8" s="835">
        <v>5</v>
      </c>
      <c r="B8" s="840"/>
      <c r="C8" s="1145"/>
      <c r="D8" s="1498" t="s">
        <v>1415</v>
      </c>
      <c r="E8" s="1499"/>
      <c r="F8" s="1499"/>
      <c r="G8" s="1501"/>
      <c r="H8" s="1105">
        <f>+SUMIF('Sumaria renta 20x3'!G:G,'2516 20x3'!A8,'Sumaria renta 20x3'!C:C)</f>
        <v>0</v>
      </c>
      <c r="I8" s="843"/>
      <c r="J8" s="842">
        <f t="shared" si="1"/>
        <v>0</v>
      </c>
      <c r="K8" s="842">
        <f t="shared" si="2"/>
        <v>0</v>
      </c>
      <c r="L8" s="842">
        <f>+SUMIF('Sumaria renta 20x3'!G:G,'2516 20x3'!A8,'Sumaria renta 20x3'!E:E)</f>
        <v>0</v>
      </c>
    </row>
    <row r="9" spans="1:50" ht="30.75" customHeight="1" outlineLevel="1" x14ac:dyDescent="0.2">
      <c r="A9" s="837"/>
      <c r="B9" s="838"/>
      <c r="C9" s="1145"/>
      <c r="D9" s="1508" t="s">
        <v>1416</v>
      </c>
      <c r="E9" s="1509"/>
      <c r="F9" s="1509"/>
      <c r="G9" s="1510"/>
      <c r="H9" s="1116">
        <f>+H10-H24</f>
        <v>0</v>
      </c>
      <c r="I9" s="1116">
        <f t="shared" ref="I9:L9" si="3">+I10-I24</f>
        <v>0</v>
      </c>
      <c r="J9" s="1116">
        <f t="shared" si="3"/>
        <v>0</v>
      </c>
      <c r="K9" s="1116">
        <f t="shared" si="3"/>
        <v>0</v>
      </c>
      <c r="L9" s="1160">
        <f t="shared" si="3"/>
        <v>0</v>
      </c>
      <c r="M9" s="1161">
        <f>+L9-'110 Renta 20x3'!Q25</f>
        <v>0</v>
      </c>
    </row>
    <row r="10" spans="1:50" ht="28.5" customHeight="1" outlineLevel="1" x14ac:dyDescent="0.2">
      <c r="A10" s="837"/>
      <c r="B10" s="838"/>
      <c r="C10" s="1145"/>
      <c r="D10" s="1508" t="s">
        <v>1417</v>
      </c>
      <c r="E10" s="1509"/>
      <c r="F10" s="1509"/>
      <c r="G10" s="1510"/>
      <c r="H10" s="1115">
        <f>SUM(H11:H23)</f>
        <v>0</v>
      </c>
      <c r="I10" s="1115">
        <f t="shared" ref="I10:L10" si="4">SUM(I11:I23)</f>
        <v>0</v>
      </c>
      <c r="J10" s="1115">
        <f t="shared" si="4"/>
        <v>0</v>
      </c>
      <c r="K10" s="1115">
        <f t="shared" si="4"/>
        <v>0</v>
      </c>
      <c r="L10" s="1115">
        <f t="shared" si="4"/>
        <v>0</v>
      </c>
    </row>
    <row r="11" spans="1:50" outlineLevel="1" x14ac:dyDescent="0.2">
      <c r="A11" s="835">
        <v>8</v>
      </c>
      <c r="B11" s="840"/>
      <c r="C11" s="1145"/>
      <c r="D11" s="1498" t="s">
        <v>1418</v>
      </c>
      <c r="E11" s="1499"/>
      <c r="F11" s="1499"/>
      <c r="G11" s="1500"/>
      <c r="H11" s="1105">
        <f>+SUMIF('Sumaria renta 20x3'!G:G,'2516 20x3'!A11,'Sumaria renta 20x3'!C:C)</f>
        <v>0</v>
      </c>
      <c r="I11" s="843"/>
      <c r="J11" s="842">
        <f t="shared" ref="J11:J23" si="5">+IF((H11&gt;L11),(H11-L11),0)</f>
        <v>0</v>
      </c>
      <c r="K11" s="842">
        <f t="shared" ref="K11:K23" si="6">+IF((H11&lt;L11),(L11-H11),0)</f>
        <v>0</v>
      </c>
      <c r="L11" s="842">
        <f>+SUMIF('Sumaria renta 20x3'!G:G,'2516 20x3'!A11,'Sumaria renta 20x3'!E:E)</f>
        <v>0</v>
      </c>
    </row>
    <row r="12" spans="1:50" ht="15.75" customHeight="1" outlineLevel="1" x14ac:dyDescent="0.2">
      <c r="A12" s="835">
        <v>9</v>
      </c>
      <c r="B12" s="840"/>
      <c r="C12" s="1515" t="s">
        <v>613</v>
      </c>
      <c r="D12" s="1498" t="s">
        <v>1049</v>
      </c>
      <c r="E12" s="1499"/>
      <c r="F12" s="1499"/>
      <c r="G12" s="1500"/>
      <c r="H12" s="1105">
        <f>+SUMIF('Sumaria renta 20x3'!G:G,'2516 20x3'!A12,'Sumaria renta 20x3'!C:C)</f>
        <v>0</v>
      </c>
      <c r="I12" s="843"/>
      <c r="J12" s="842">
        <f t="shared" si="5"/>
        <v>0</v>
      </c>
      <c r="K12" s="842">
        <f t="shared" si="6"/>
        <v>0</v>
      </c>
      <c r="L12" s="842">
        <f>+SUMIF('Sumaria renta 20x3'!G:G,'2516 20x3'!A12,'Sumaria renta 20x3'!E:E)</f>
        <v>0</v>
      </c>
    </row>
    <row r="13" spans="1:50" ht="15.75" customHeight="1" outlineLevel="1" x14ac:dyDescent="0.2">
      <c r="A13" s="835">
        <v>10</v>
      </c>
      <c r="B13" s="840"/>
      <c r="C13" s="1515"/>
      <c r="D13" s="1498" t="s">
        <v>1419</v>
      </c>
      <c r="E13" s="1499"/>
      <c r="F13" s="1499"/>
      <c r="G13" s="1500"/>
      <c r="H13" s="1105">
        <f>+SUMIF('Sumaria renta 20x3'!G:G,'2516 20x3'!A13,'Sumaria renta 20x3'!C:C)</f>
        <v>0</v>
      </c>
      <c r="I13" s="843"/>
      <c r="J13" s="842">
        <f t="shared" si="5"/>
        <v>0</v>
      </c>
      <c r="K13" s="842">
        <f t="shared" si="6"/>
        <v>0</v>
      </c>
      <c r="L13" s="842">
        <f>+SUMIF('Sumaria renta 20x3'!G:G,'2516 20x3'!A13,'Sumaria renta 20x3'!E:E)</f>
        <v>0</v>
      </c>
    </row>
    <row r="14" spans="1:50" ht="15.75" customHeight="1" outlineLevel="1" x14ac:dyDescent="0.2">
      <c r="A14" s="835">
        <v>11</v>
      </c>
      <c r="B14" s="840"/>
      <c r="C14" s="1515"/>
      <c r="D14" s="1498" t="s">
        <v>1420</v>
      </c>
      <c r="E14" s="1499"/>
      <c r="F14" s="1499"/>
      <c r="G14" s="1500"/>
      <c r="H14" s="1105">
        <f>+SUMIF('Sumaria renta 20x3'!G:G,'2516 20x3'!A14,'Sumaria renta 20x3'!C:C)</f>
        <v>0</v>
      </c>
      <c r="I14" s="843"/>
      <c r="J14" s="842">
        <f t="shared" si="5"/>
        <v>0</v>
      </c>
      <c r="K14" s="842">
        <f t="shared" si="6"/>
        <v>0</v>
      </c>
      <c r="L14" s="842">
        <f>+SUMIF('Sumaria renta 20x3'!G:G,'2516 20x3'!A14,'Sumaria renta 20x3'!E:E)</f>
        <v>0</v>
      </c>
    </row>
    <row r="15" spans="1:50" ht="15.75" customHeight="1" outlineLevel="1" x14ac:dyDescent="0.2">
      <c r="A15" s="835">
        <v>12</v>
      </c>
      <c r="B15" s="840"/>
      <c r="C15" s="1515"/>
      <c r="D15" s="1498" t="s">
        <v>1421</v>
      </c>
      <c r="E15" s="1499"/>
      <c r="F15" s="1499"/>
      <c r="G15" s="1500"/>
      <c r="H15" s="1105">
        <f>+SUMIF('Sumaria renta 20x3'!G:G,'2516 20x3'!A15,'Sumaria renta 20x3'!C:C)</f>
        <v>0</v>
      </c>
      <c r="I15" s="843"/>
      <c r="J15" s="842">
        <f t="shared" si="5"/>
        <v>0</v>
      </c>
      <c r="K15" s="842">
        <f t="shared" si="6"/>
        <v>0</v>
      </c>
      <c r="L15" s="842">
        <f>+SUMIF('Sumaria renta 20x3'!G:G,'2516 20x3'!A15,'Sumaria renta 20x3'!E:E)</f>
        <v>0</v>
      </c>
    </row>
    <row r="16" spans="1:50" outlineLevel="1" x14ac:dyDescent="0.2">
      <c r="A16" s="835">
        <v>13</v>
      </c>
      <c r="B16" s="840"/>
      <c r="C16" s="1145"/>
      <c r="D16" s="1498" t="s">
        <v>1422</v>
      </c>
      <c r="E16" s="1499"/>
      <c r="F16" s="1499"/>
      <c r="G16" s="1500"/>
      <c r="H16" s="1105">
        <f>+SUMIF('Sumaria renta 20x3'!G:G,'2516 20x3'!A16,'Sumaria renta 20x3'!C:C)</f>
        <v>0</v>
      </c>
      <c r="I16" s="843"/>
      <c r="J16" s="842">
        <f t="shared" si="5"/>
        <v>0</v>
      </c>
      <c r="K16" s="842">
        <f t="shared" si="6"/>
        <v>0</v>
      </c>
      <c r="L16" s="842">
        <f>+SUMIF('Sumaria renta 20x3'!G:G,'2516 20x3'!A16,'Sumaria renta 20x3'!E:E)</f>
        <v>0</v>
      </c>
    </row>
    <row r="17" spans="1:13" ht="12.75" customHeight="1" outlineLevel="1" x14ac:dyDescent="0.2">
      <c r="A17" s="835">
        <v>14</v>
      </c>
      <c r="B17" s="840"/>
      <c r="C17" s="1145"/>
      <c r="D17" s="1531" t="s">
        <v>1423</v>
      </c>
      <c r="E17" s="1532"/>
      <c r="F17" s="1532"/>
      <c r="G17" s="1553"/>
      <c r="H17" s="1105">
        <f>+SUMIF('Sumaria renta 20x3'!G:G,'2516 20x3'!A17,'Sumaria renta 20x3'!C:C)</f>
        <v>0</v>
      </c>
      <c r="I17" s="843"/>
      <c r="J17" s="842">
        <f t="shared" si="5"/>
        <v>0</v>
      </c>
      <c r="K17" s="842">
        <f t="shared" si="6"/>
        <v>0</v>
      </c>
      <c r="L17" s="842">
        <f>+SUMIF('Sumaria renta 20x3'!G:G,'2516 20x3'!A17,'Sumaria renta 20x3'!E:E)</f>
        <v>0</v>
      </c>
    </row>
    <row r="18" spans="1:13" ht="27" customHeight="1" outlineLevel="1" x14ac:dyDescent="0.2">
      <c r="A18" s="835">
        <v>15</v>
      </c>
      <c r="B18" s="840"/>
      <c r="C18" s="1145"/>
      <c r="D18" s="1531" t="s">
        <v>1424</v>
      </c>
      <c r="E18" s="1532"/>
      <c r="F18" s="1532"/>
      <c r="G18" s="1553"/>
      <c r="H18" s="1105">
        <f>+SUMIF('Sumaria renta 20x3'!G:G,'2516 20x3'!A18,'Sumaria renta 20x3'!C:C)</f>
        <v>0</v>
      </c>
      <c r="I18" s="843"/>
      <c r="J18" s="842">
        <f t="shared" si="5"/>
        <v>0</v>
      </c>
      <c r="K18" s="842">
        <f t="shared" si="6"/>
        <v>0</v>
      </c>
      <c r="L18" s="842">
        <f>+SUMIF('Sumaria renta 20x3'!G:G,'2516 20x3'!A18,'Sumaria renta 20x3'!E:E)</f>
        <v>0</v>
      </c>
    </row>
    <row r="19" spans="1:13" ht="12.75" customHeight="1" outlineLevel="1" x14ac:dyDescent="0.2">
      <c r="A19" s="835">
        <v>16</v>
      </c>
      <c r="B19" s="840"/>
      <c r="C19" s="1145"/>
      <c r="D19" s="1531" t="s">
        <v>1425</v>
      </c>
      <c r="E19" s="1532"/>
      <c r="F19" s="1532"/>
      <c r="G19" s="1553"/>
      <c r="H19" s="1105">
        <f>+SUMIF('Sumaria renta 20x3'!G:G,'2516 20x3'!A19,'Sumaria renta 20x3'!C:C)</f>
        <v>0</v>
      </c>
      <c r="I19" s="843"/>
      <c r="J19" s="842">
        <f t="shared" si="5"/>
        <v>0</v>
      </c>
      <c r="K19" s="842">
        <f t="shared" si="6"/>
        <v>0</v>
      </c>
      <c r="L19" s="842">
        <f>+SUMIF('Sumaria renta 20x3'!G:G,'2516 20x3'!A19,'Sumaria renta 20x3'!E:E)</f>
        <v>0</v>
      </c>
    </row>
    <row r="20" spans="1:13" ht="29.25" customHeight="1" outlineLevel="1" x14ac:dyDescent="0.2">
      <c r="A20" s="835">
        <v>17</v>
      </c>
      <c r="B20" s="840"/>
      <c r="C20" s="1145"/>
      <c r="D20" s="1554" t="s">
        <v>1426</v>
      </c>
      <c r="E20" s="1555"/>
      <c r="F20" s="1555"/>
      <c r="G20" s="1556"/>
      <c r="H20" s="1119">
        <f>+SUMIF('Sumaria renta 20x3'!G:G,'2516 20x3'!A20,'Sumaria renta 20x3'!C:C)</f>
        <v>0</v>
      </c>
      <c r="I20" s="843"/>
      <c r="J20" s="842">
        <f t="shared" si="5"/>
        <v>0</v>
      </c>
      <c r="K20" s="842">
        <f t="shared" si="6"/>
        <v>0</v>
      </c>
      <c r="L20" s="842">
        <f>+SUMIF('Sumaria renta 20x3'!G:G,'2516 20x3'!A20,'Sumaria renta 20x3'!E:E)</f>
        <v>0</v>
      </c>
    </row>
    <row r="21" spans="1:13" ht="24.75" customHeight="1" outlineLevel="1" x14ac:dyDescent="0.2">
      <c r="A21" s="835">
        <v>18</v>
      </c>
      <c r="B21" s="840"/>
      <c r="C21" s="1145"/>
      <c r="D21" s="1520" t="s">
        <v>1427</v>
      </c>
      <c r="E21" s="1520"/>
      <c r="F21" s="1520"/>
      <c r="G21" s="1520"/>
      <c r="H21" s="1120">
        <f>+SUMIF('Sumaria renta 20x3'!G:G,'2516 20x3'!A21,'Sumaria renta 20x3'!C:C)</f>
        <v>0</v>
      </c>
      <c r="I21" s="1118"/>
      <c r="J21" s="842">
        <f t="shared" si="5"/>
        <v>0</v>
      </c>
      <c r="K21" s="842">
        <f t="shared" si="6"/>
        <v>0</v>
      </c>
      <c r="L21" s="842">
        <f>+SUMIF('Sumaria renta 20x3'!G:G,'2516 20x3'!A21,'Sumaria renta 20x3'!E:E)</f>
        <v>0</v>
      </c>
    </row>
    <row r="22" spans="1:13" ht="12.75" customHeight="1" outlineLevel="1" x14ac:dyDescent="0.2">
      <c r="A22" s="835">
        <v>19</v>
      </c>
      <c r="B22" s="840"/>
      <c r="C22" s="1145"/>
      <c r="D22" s="1520" t="s">
        <v>1428</v>
      </c>
      <c r="E22" s="1520"/>
      <c r="F22" s="1520"/>
      <c r="G22" s="1520"/>
      <c r="H22" s="1120">
        <f>+SUMIF('Sumaria renta 20x3'!G:G,'2516 20x3'!A22,'Sumaria renta 20x3'!C:C)</f>
        <v>0</v>
      </c>
      <c r="I22" s="1118"/>
      <c r="J22" s="842">
        <f t="shared" si="5"/>
        <v>0</v>
      </c>
      <c r="K22" s="842">
        <f t="shared" si="6"/>
        <v>0</v>
      </c>
      <c r="L22" s="842">
        <f>+SUMIF('Sumaria renta 20x3'!G:G,'2516 20x3'!A22,'Sumaria renta 20x3'!E:E)</f>
        <v>0</v>
      </c>
    </row>
    <row r="23" spans="1:13" outlineLevel="1" x14ac:dyDescent="0.2">
      <c r="A23" s="835">
        <v>20</v>
      </c>
      <c r="B23" s="840"/>
      <c r="C23" s="1145"/>
      <c r="D23" s="1520" t="s">
        <v>1429</v>
      </c>
      <c r="E23" s="1520"/>
      <c r="F23" s="1520"/>
      <c r="G23" s="1520"/>
      <c r="H23" s="1120">
        <f>+SUMIF('Sumaria renta 20x3'!G:G,'2516 20x3'!A23,'Sumaria renta 20x3'!C:C)</f>
        <v>0</v>
      </c>
      <c r="I23" s="1118"/>
      <c r="J23" s="842">
        <f t="shared" si="5"/>
        <v>0</v>
      </c>
      <c r="K23" s="842">
        <f t="shared" si="6"/>
        <v>0</v>
      </c>
      <c r="L23" s="842">
        <f>+SUMIF('Sumaria renta 20x3'!G:G,'2516 20x3'!A23,'Sumaria renta 20x3'!E:E)</f>
        <v>0</v>
      </c>
    </row>
    <row r="24" spans="1:13" ht="12.75" customHeight="1" outlineLevel="1" x14ac:dyDescent="0.2">
      <c r="A24" s="837"/>
      <c r="B24" s="838"/>
      <c r="C24" s="1145"/>
      <c r="D24" s="1508" t="s">
        <v>1430</v>
      </c>
      <c r="E24" s="1509"/>
      <c r="F24" s="1509"/>
      <c r="G24" s="1510"/>
      <c r="H24" s="1121">
        <f>SUM(H25:H31)</f>
        <v>0</v>
      </c>
      <c r="I24" s="1117">
        <f t="shared" ref="I24:L24" si="7">SUM(I25:I31)</f>
        <v>0</v>
      </c>
      <c r="J24" s="1117">
        <f t="shared" si="7"/>
        <v>0</v>
      </c>
      <c r="K24" s="1117">
        <f t="shared" si="7"/>
        <v>0</v>
      </c>
      <c r="L24" s="1117">
        <f t="shared" si="7"/>
        <v>0</v>
      </c>
    </row>
    <row r="25" spans="1:13" outlineLevel="1" x14ac:dyDescent="0.2">
      <c r="A25" s="835">
        <v>22</v>
      </c>
      <c r="B25" s="840"/>
      <c r="C25" s="1145"/>
      <c r="D25" s="1531" t="s">
        <v>1418</v>
      </c>
      <c r="E25" s="1532"/>
      <c r="F25" s="1532"/>
      <c r="G25" s="1533"/>
      <c r="H25" s="1120">
        <f>-SUMIF('Sumaria renta 20x3'!G:G,'2516 20x3'!A25,'Sumaria renta 20x3'!C:C)</f>
        <v>0</v>
      </c>
      <c r="I25" s="1118"/>
      <c r="J25" s="842">
        <f t="shared" ref="J25:J31" si="8">-IF((H25&gt;L25),(H25-L25),0)</f>
        <v>0</v>
      </c>
      <c r="K25" s="842">
        <f t="shared" ref="K25:K31" si="9">-IF((H25&lt;L25),(L25-H25),0)</f>
        <v>0</v>
      </c>
      <c r="L25" s="842">
        <f>-SUMIF('Sumaria renta 20x3'!G:G,'2516 20x3'!A25,'Sumaria renta 20x3'!E:E)</f>
        <v>0</v>
      </c>
    </row>
    <row r="26" spans="1:13" ht="38.25" customHeight="1" outlineLevel="1" x14ac:dyDescent="0.2">
      <c r="A26" s="835">
        <v>23</v>
      </c>
      <c r="B26" s="840"/>
      <c r="C26" s="1516" t="s">
        <v>613</v>
      </c>
      <c r="D26" s="1531" t="s">
        <v>1420</v>
      </c>
      <c r="E26" s="1532"/>
      <c r="F26" s="1532"/>
      <c r="G26" s="1533"/>
      <c r="H26" s="1120">
        <f>-SUMIF('Sumaria renta 20x3'!G:G,'2516 20x3'!A26,'Sumaria renta 20x3'!C:C)</f>
        <v>0</v>
      </c>
      <c r="I26" s="1118"/>
      <c r="J26" s="842">
        <f t="shared" si="8"/>
        <v>0</v>
      </c>
      <c r="K26" s="842">
        <f t="shared" si="9"/>
        <v>0</v>
      </c>
      <c r="L26" s="842">
        <f>-SUMIF('Sumaria renta 20x3'!G:G,'2516 20x3'!A26,'Sumaria renta 20x3'!E:E)</f>
        <v>0</v>
      </c>
    </row>
    <row r="27" spans="1:13" ht="18.75" customHeight="1" outlineLevel="1" x14ac:dyDescent="0.2">
      <c r="A27" s="835">
        <v>24</v>
      </c>
      <c r="B27" s="840"/>
      <c r="C27" s="1516"/>
      <c r="D27" s="1531" t="s">
        <v>81</v>
      </c>
      <c r="E27" s="1532"/>
      <c r="F27" s="1532"/>
      <c r="G27" s="1533"/>
      <c r="H27" s="1120">
        <f>-SUMIF('Sumaria renta 20x3'!G:G,'2516 20x3'!A27,'Sumaria renta 20x3'!C:C)</f>
        <v>0</v>
      </c>
      <c r="I27" s="1118"/>
      <c r="J27" s="842">
        <f t="shared" si="8"/>
        <v>0</v>
      </c>
      <c r="K27" s="842">
        <f t="shared" si="9"/>
        <v>0</v>
      </c>
      <c r="L27" s="842">
        <f>-SUMIF('Sumaria renta 20x3'!G:G,'2516 20x3'!A27,'Sumaria renta 20x3'!E:E)</f>
        <v>0</v>
      </c>
    </row>
    <row r="28" spans="1:13" outlineLevel="1" x14ac:dyDescent="0.2">
      <c r="A28" s="835">
        <v>25</v>
      </c>
      <c r="B28" s="840"/>
      <c r="C28" s="1145"/>
      <c r="D28" s="1531" t="s">
        <v>1422</v>
      </c>
      <c r="E28" s="1532"/>
      <c r="F28" s="1532"/>
      <c r="G28" s="1533"/>
      <c r="H28" s="1120">
        <f>-SUMIF('Sumaria renta 20x3'!G:G,'2516 20x3'!A28,'Sumaria renta 20x3'!C:C)</f>
        <v>0</v>
      </c>
      <c r="I28" s="1118"/>
      <c r="J28" s="842">
        <f t="shared" si="8"/>
        <v>0</v>
      </c>
      <c r="K28" s="842">
        <f t="shared" si="9"/>
        <v>0</v>
      </c>
      <c r="L28" s="842">
        <f>-SUMIF('Sumaria renta 20x3'!G:G,'2516 20x3'!A28,'Sumaria renta 20x3'!E:E)</f>
        <v>0</v>
      </c>
    </row>
    <row r="29" spans="1:13" outlineLevel="1" x14ac:dyDescent="0.2">
      <c r="A29" s="835">
        <v>26</v>
      </c>
      <c r="B29" s="840"/>
      <c r="C29" s="1145"/>
      <c r="D29" s="1531" t="s">
        <v>1423</v>
      </c>
      <c r="E29" s="1532"/>
      <c r="F29" s="1532"/>
      <c r="G29" s="1533"/>
      <c r="H29" s="1120">
        <f>-SUMIF('Sumaria renta 20x3'!G:G,'2516 20x3'!A29,'Sumaria renta 20x3'!C:C)</f>
        <v>0</v>
      </c>
      <c r="I29" s="1118"/>
      <c r="J29" s="842">
        <f t="shared" si="8"/>
        <v>0</v>
      </c>
      <c r="K29" s="842">
        <f t="shared" si="9"/>
        <v>0</v>
      </c>
      <c r="L29" s="842">
        <f>-SUMIF('Sumaria renta 20x3'!G:G,'2516 20x3'!A29,'Sumaria renta 20x3'!E:E)</f>
        <v>0</v>
      </c>
    </row>
    <row r="30" spans="1:13" outlineLevel="1" x14ac:dyDescent="0.2">
      <c r="A30" s="835">
        <v>27</v>
      </c>
      <c r="B30" s="840"/>
      <c r="C30" s="1145"/>
      <c r="D30" s="1531" t="s">
        <v>1428</v>
      </c>
      <c r="E30" s="1532"/>
      <c r="F30" s="1532"/>
      <c r="G30" s="1533"/>
      <c r="H30" s="1120">
        <f>-SUMIF('Sumaria renta 20x3'!G:G,'2516 20x3'!A30,'Sumaria renta 20x3'!C:C)</f>
        <v>0</v>
      </c>
      <c r="I30" s="1118"/>
      <c r="J30" s="842">
        <f t="shared" si="8"/>
        <v>0</v>
      </c>
      <c r="K30" s="842">
        <f t="shared" si="9"/>
        <v>0</v>
      </c>
      <c r="L30" s="842">
        <f>-SUMIF('Sumaria renta 20x3'!G:G,'2516 20x3'!A30,'Sumaria renta 20x3'!E:E)</f>
        <v>0</v>
      </c>
    </row>
    <row r="31" spans="1:13" outlineLevel="1" x14ac:dyDescent="0.2">
      <c r="A31" s="835">
        <v>28</v>
      </c>
      <c r="B31" s="840"/>
      <c r="C31" s="1145"/>
      <c r="D31" s="1531" t="s">
        <v>1429</v>
      </c>
      <c r="E31" s="1532"/>
      <c r="F31" s="1532"/>
      <c r="G31" s="1533"/>
      <c r="H31" s="1120">
        <f>-SUMIF('Sumaria renta 20x3'!G:G,'2516 20x3'!A31,'Sumaria renta 20x3'!C:C)</f>
        <v>0</v>
      </c>
      <c r="I31" s="1118"/>
      <c r="J31" s="842">
        <f t="shared" si="8"/>
        <v>0</v>
      </c>
      <c r="K31" s="842">
        <f t="shared" si="9"/>
        <v>0</v>
      </c>
      <c r="L31" s="842">
        <f>-SUMIF('Sumaria renta 20x3'!G:G,'2516 20x3'!A31,'Sumaria renta 20x3'!E:E)</f>
        <v>0</v>
      </c>
    </row>
    <row r="32" spans="1:13" ht="35.25" customHeight="1" outlineLevel="1" x14ac:dyDescent="0.2">
      <c r="A32" s="837"/>
      <c r="B32" s="838"/>
      <c r="C32" s="1145"/>
      <c r="D32" s="1521" t="s">
        <v>1431</v>
      </c>
      <c r="E32" s="1522"/>
      <c r="F32" s="1522"/>
      <c r="G32" s="1523"/>
      <c r="H32" s="1123">
        <f>+H33-H46</f>
        <v>0</v>
      </c>
      <c r="I32" s="1123">
        <f t="shared" ref="I32:L32" si="10">+I33-I46</f>
        <v>0</v>
      </c>
      <c r="J32" s="1123">
        <f>+J33+J46</f>
        <v>0</v>
      </c>
      <c r="K32" s="1123">
        <f t="shared" si="10"/>
        <v>0</v>
      </c>
      <c r="L32" s="1123">
        <f t="shared" si="10"/>
        <v>0</v>
      </c>
      <c r="M32" s="1161">
        <f>+L32-'110 Renta 20x3'!Q26</f>
        <v>0</v>
      </c>
    </row>
    <row r="33" spans="1:12" outlineLevel="1" x14ac:dyDescent="0.2">
      <c r="A33" s="837"/>
      <c r="B33" s="838"/>
      <c r="C33" s="1145"/>
      <c r="D33" s="1508" t="s">
        <v>1432</v>
      </c>
      <c r="E33" s="1509"/>
      <c r="F33" s="1509"/>
      <c r="G33" s="1510"/>
      <c r="H33" s="1116">
        <f>SUM(H34:H45)</f>
        <v>0</v>
      </c>
      <c r="I33" s="1116">
        <f t="shared" ref="I33:L33" si="11">SUM(I34:I45)</f>
        <v>0</v>
      </c>
      <c r="J33" s="1116">
        <f t="shared" si="11"/>
        <v>0</v>
      </c>
      <c r="K33" s="1116">
        <f t="shared" si="11"/>
        <v>0</v>
      </c>
      <c r="L33" s="1116">
        <f t="shared" si="11"/>
        <v>0</v>
      </c>
    </row>
    <row r="34" spans="1:12" outlineLevel="1" x14ac:dyDescent="0.2">
      <c r="A34" s="835">
        <v>31</v>
      </c>
      <c r="B34" s="840"/>
      <c r="C34" s="1145"/>
      <c r="D34" s="1531" t="s">
        <v>1433</v>
      </c>
      <c r="E34" s="1532"/>
      <c r="F34" s="1532"/>
      <c r="G34" s="1533"/>
      <c r="H34" s="1120">
        <f>+SUMIF('Sumaria renta 20x3'!G:G,'2516 20x3'!A34,'Sumaria renta 20x3'!C:C)</f>
        <v>0</v>
      </c>
      <c r="I34" s="1118"/>
      <c r="J34" s="842">
        <f t="shared" ref="J34:J45" si="12">+IF((H34&gt;L34),(H34-L34),0)</f>
        <v>0</v>
      </c>
      <c r="K34" s="842">
        <f t="shared" ref="K34:K45" si="13">+IF((H34&lt;L34),(L34-H34),0)</f>
        <v>0</v>
      </c>
      <c r="L34" s="842">
        <f>+SUMIF('Sumaria renta 20x3'!G:G,'2516 20x3'!A34,'Sumaria renta 20x3'!E:E)</f>
        <v>0</v>
      </c>
    </row>
    <row r="35" spans="1:12" outlineLevel="1" x14ac:dyDescent="0.2">
      <c r="A35" s="835">
        <v>32</v>
      </c>
      <c r="B35" s="840"/>
      <c r="C35" s="1145"/>
      <c r="D35" s="1531" t="s">
        <v>1434</v>
      </c>
      <c r="E35" s="1532"/>
      <c r="F35" s="1532"/>
      <c r="G35" s="1533"/>
      <c r="H35" s="1120">
        <f>+SUMIF('Sumaria renta 20x3'!G:G,'2516 20x3'!A35,'Sumaria renta 20x3'!C:C)</f>
        <v>0</v>
      </c>
      <c r="I35" s="1118"/>
      <c r="J35" s="842">
        <f t="shared" si="12"/>
        <v>0</v>
      </c>
      <c r="K35" s="842">
        <f t="shared" si="13"/>
        <v>0</v>
      </c>
      <c r="L35" s="842">
        <f>+SUMIF('Sumaria renta 20x3'!G:G,'2516 20x3'!A35,'Sumaria renta 20x3'!E:E)</f>
        <v>0</v>
      </c>
    </row>
    <row r="36" spans="1:12" ht="26.25" customHeight="1" outlineLevel="1" x14ac:dyDescent="0.2">
      <c r="A36" s="835">
        <v>33</v>
      </c>
      <c r="B36" s="840"/>
      <c r="C36" s="1145"/>
      <c r="D36" s="1531" t="s">
        <v>1435</v>
      </c>
      <c r="E36" s="1532"/>
      <c r="F36" s="1532"/>
      <c r="G36" s="1533"/>
      <c r="H36" s="1120">
        <f>+SUMIF('Sumaria renta 20x3'!G:G,'2516 20x3'!A36,'Sumaria renta 20x3'!C:C)</f>
        <v>0</v>
      </c>
      <c r="I36" s="1118"/>
      <c r="J36" s="842">
        <f t="shared" si="12"/>
        <v>0</v>
      </c>
      <c r="K36" s="842">
        <f t="shared" si="13"/>
        <v>0</v>
      </c>
      <c r="L36" s="842">
        <f>+SUMIF('Sumaria renta 20x3'!G:G,'2516 20x3'!A36,'Sumaria renta 20x3'!E:E)</f>
        <v>0</v>
      </c>
    </row>
    <row r="37" spans="1:12" outlineLevel="1" x14ac:dyDescent="0.2">
      <c r="A37" s="835">
        <v>34</v>
      </c>
      <c r="B37" s="840"/>
      <c r="C37" s="1145"/>
      <c r="D37" s="1531" t="s">
        <v>1436</v>
      </c>
      <c r="E37" s="1532"/>
      <c r="F37" s="1532"/>
      <c r="G37" s="1533"/>
      <c r="H37" s="1120">
        <f>+SUMIF('Sumaria renta 20x3'!G:G,'2516 20x3'!A37,'Sumaria renta 20x3'!C:C)</f>
        <v>0</v>
      </c>
      <c r="I37" s="1118"/>
      <c r="J37" s="842">
        <f t="shared" si="12"/>
        <v>0</v>
      </c>
      <c r="K37" s="842">
        <f t="shared" si="13"/>
        <v>0</v>
      </c>
      <c r="L37" s="842">
        <f>+SUMIF('Sumaria renta 20x3'!G:G,'2516 20x3'!A37,'Sumaria renta 20x3'!E:E)</f>
        <v>0</v>
      </c>
    </row>
    <row r="38" spans="1:12" outlineLevel="1" x14ac:dyDescent="0.2">
      <c r="A38" s="835">
        <v>35</v>
      </c>
      <c r="B38" s="840"/>
      <c r="C38" s="1145"/>
      <c r="D38" s="1531" t="s">
        <v>1437</v>
      </c>
      <c r="E38" s="1532"/>
      <c r="F38" s="1532"/>
      <c r="G38" s="1533"/>
      <c r="H38" s="1120">
        <f>+SUMIF('Sumaria renta 20x3'!G:G,'2516 20x3'!A38,'Sumaria renta 20x3'!C:C)</f>
        <v>0</v>
      </c>
      <c r="I38" s="1118"/>
      <c r="J38" s="842">
        <f t="shared" si="12"/>
        <v>0</v>
      </c>
      <c r="K38" s="842">
        <f t="shared" si="13"/>
        <v>0</v>
      </c>
      <c r="L38" s="842">
        <f>+SUMIF('Sumaria renta 20x3'!G:G,'2516 20x3'!A38,'Sumaria renta 20x3'!E:E)</f>
        <v>0</v>
      </c>
    </row>
    <row r="39" spans="1:12" outlineLevel="1" x14ac:dyDescent="0.2">
      <c r="A39" s="835">
        <v>36</v>
      </c>
      <c r="B39" s="840"/>
      <c r="C39" s="1145"/>
      <c r="D39" s="1531" t="s">
        <v>1438</v>
      </c>
      <c r="E39" s="1532"/>
      <c r="F39" s="1532"/>
      <c r="G39" s="1533"/>
      <c r="H39" s="1120">
        <f>+SUMIF('Sumaria renta 20x3'!G:G,'2516 20x3'!A39,'Sumaria renta 20x3'!C:C)</f>
        <v>0</v>
      </c>
      <c r="I39" s="1118"/>
      <c r="J39" s="842">
        <f t="shared" si="12"/>
        <v>0</v>
      </c>
      <c r="K39" s="842">
        <f t="shared" si="13"/>
        <v>0</v>
      </c>
      <c r="L39" s="842">
        <f>+SUMIF('Sumaria renta 20x3'!G:G,'2516 20x3'!A39,'Sumaria renta 20x3'!E:E)</f>
        <v>0</v>
      </c>
    </row>
    <row r="40" spans="1:12" ht="27.75" customHeight="1" outlineLevel="1" x14ac:dyDescent="0.2">
      <c r="A40" s="835">
        <v>37</v>
      </c>
      <c r="B40" s="840"/>
      <c r="C40" s="1145"/>
      <c r="D40" s="1531" t="s">
        <v>1439</v>
      </c>
      <c r="E40" s="1532"/>
      <c r="F40" s="1532"/>
      <c r="G40" s="1533"/>
      <c r="H40" s="1120">
        <f>+SUMIF('Sumaria renta 20x3'!G:G,'2516 20x3'!A40,'Sumaria renta 20x3'!C:C)</f>
        <v>0</v>
      </c>
      <c r="I40" s="1118"/>
      <c r="J40" s="842">
        <f t="shared" si="12"/>
        <v>0</v>
      </c>
      <c r="K40" s="842">
        <f t="shared" si="13"/>
        <v>0</v>
      </c>
      <c r="L40" s="842">
        <f>+SUMIF('Sumaria renta 20x3'!G:G,'2516 20x3'!A40,'Sumaria renta 20x3'!E:E)</f>
        <v>0</v>
      </c>
    </row>
    <row r="41" spans="1:12" outlineLevel="1" x14ac:dyDescent="0.2">
      <c r="A41" s="835">
        <v>38</v>
      </c>
      <c r="B41" s="840"/>
      <c r="C41" s="1145"/>
      <c r="D41" s="1531" t="s">
        <v>1440</v>
      </c>
      <c r="E41" s="1532"/>
      <c r="F41" s="1532"/>
      <c r="G41" s="1533"/>
      <c r="H41" s="1120">
        <f>+SUMIF('Sumaria renta 20x3'!G:G,'2516 20x3'!A41,'Sumaria renta 20x3'!C:C)</f>
        <v>0</v>
      </c>
      <c r="I41" s="1118"/>
      <c r="J41" s="842">
        <f t="shared" si="12"/>
        <v>0</v>
      </c>
      <c r="K41" s="842">
        <f t="shared" si="13"/>
        <v>0</v>
      </c>
      <c r="L41" s="842">
        <f>+SUMIF('Sumaria renta 20x3'!G:G,'2516 20x3'!A41,'Sumaria renta 20x3'!E:E)</f>
        <v>0</v>
      </c>
    </row>
    <row r="42" spans="1:12" outlineLevel="1" x14ac:dyDescent="0.2">
      <c r="A42" s="835">
        <v>39</v>
      </c>
      <c r="B42" s="840"/>
      <c r="C42" s="1145"/>
      <c r="D42" s="1531" t="s">
        <v>1441</v>
      </c>
      <c r="E42" s="1532"/>
      <c r="F42" s="1532"/>
      <c r="G42" s="1533"/>
      <c r="H42" s="1120">
        <f>+SUMIF('Sumaria renta 20x3'!G:G,'2516 20x3'!A42,'Sumaria renta 20x3'!C:C)</f>
        <v>0</v>
      </c>
      <c r="I42" s="1118"/>
      <c r="J42" s="842">
        <f t="shared" si="12"/>
        <v>0</v>
      </c>
      <c r="K42" s="842">
        <f t="shared" si="13"/>
        <v>0</v>
      </c>
      <c r="L42" s="842">
        <f>+SUMIF('Sumaria renta 20x3'!G:G,'2516 20x3'!A42,'Sumaria renta 20x3'!E:E)</f>
        <v>0</v>
      </c>
    </row>
    <row r="43" spans="1:12" outlineLevel="1" x14ac:dyDescent="0.2">
      <c r="A43" s="835">
        <v>40</v>
      </c>
      <c r="B43" s="840"/>
      <c r="C43" s="1145"/>
      <c r="D43" s="1531" t="s">
        <v>1442</v>
      </c>
      <c r="E43" s="1532"/>
      <c r="F43" s="1532"/>
      <c r="G43" s="1533"/>
      <c r="H43" s="1120">
        <f>+SUMIF('Sumaria renta 20x3'!G:G,'2516 20x3'!A43,'Sumaria renta 20x3'!C:C)</f>
        <v>0</v>
      </c>
      <c r="I43" s="1118"/>
      <c r="J43" s="842">
        <f t="shared" si="12"/>
        <v>0</v>
      </c>
      <c r="K43" s="842">
        <f t="shared" si="13"/>
        <v>0</v>
      </c>
      <c r="L43" s="842">
        <f>+SUMIF('Sumaria renta 20x3'!G:G,'2516 20x3'!A43,'Sumaria renta 20x3'!E:E)</f>
        <v>0</v>
      </c>
    </row>
    <row r="44" spans="1:12" outlineLevel="1" x14ac:dyDescent="0.2">
      <c r="A44" s="835">
        <v>41</v>
      </c>
      <c r="B44" s="840"/>
      <c r="C44" s="1145"/>
      <c r="D44" s="1531" t="s">
        <v>1443</v>
      </c>
      <c r="E44" s="1532"/>
      <c r="F44" s="1532"/>
      <c r="G44" s="1533"/>
      <c r="H44" s="1120">
        <f>+SUMIF('Sumaria renta 20x3'!G:G,'2516 20x3'!A44,'Sumaria renta 20x3'!C:C)</f>
        <v>0</v>
      </c>
      <c r="I44" s="1118"/>
      <c r="J44" s="842">
        <f t="shared" si="12"/>
        <v>0</v>
      </c>
      <c r="K44" s="842">
        <f t="shared" si="13"/>
        <v>0</v>
      </c>
      <c r="L44" s="842">
        <f>+SUMIF('Sumaria renta 20x3'!G:G,'2516 20x3'!A44,'Sumaria renta 20x3'!E:E)</f>
        <v>0</v>
      </c>
    </row>
    <row r="45" spans="1:12" outlineLevel="1" x14ac:dyDescent="0.2">
      <c r="A45" s="835">
        <v>42</v>
      </c>
      <c r="B45" s="840"/>
      <c r="C45" s="1145"/>
      <c r="D45" s="1531" t="s">
        <v>1444</v>
      </c>
      <c r="E45" s="1532"/>
      <c r="F45" s="1532"/>
      <c r="G45" s="1533"/>
      <c r="H45" s="1120">
        <f>+SUMIF('Sumaria renta 20x3'!G:G,'2516 20x3'!A45,'Sumaria renta 20x3'!C:C)</f>
        <v>0</v>
      </c>
      <c r="I45" s="1118"/>
      <c r="J45" s="842">
        <f t="shared" si="12"/>
        <v>0</v>
      </c>
      <c r="K45" s="842">
        <f t="shared" si="13"/>
        <v>0</v>
      </c>
      <c r="L45" s="842">
        <f>+SUMIF('Sumaria renta 20x3'!G:G,'2516 20x3'!A45,'Sumaria renta 20x3'!E:E)</f>
        <v>0</v>
      </c>
    </row>
    <row r="46" spans="1:12" ht="33.75" customHeight="1" outlineLevel="1" x14ac:dyDescent="0.2">
      <c r="A46" s="837"/>
      <c r="B46" s="838"/>
      <c r="C46" s="1145"/>
      <c r="D46" s="1508" t="s">
        <v>1445</v>
      </c>
      <c r="E46" s="1509"/>
      <c r="F46" s="1509"/>
      <c r="G46" s="1510"/>
      <c r="H46" s="1122">
        <f>SUM(H47:H54)</f>
        <v>0</v>
      </c>
      <c r="I46" s="1122">
        <f t="shared" ref="I46:L46" si="14">SUM(I47:I54)</f>
        <v>0</v>
      </c>
      <c r="J46" s="1122">
        <f t="shared" si="14"/>
        <v>0</v>
      </c>
      <c r="K46" s="1122">
        <f t="shared" si="14"/>
        <v>0</v>
      </c>
      <c r="L46" s="1122">
        <f t="shared" si="14"/>
        <v>0</v>
      </c>
    </row>
    <row r="47" spans="1:12" outlineLevel="1" x14ac:dyDescent="0.2">
      <c r="A47" s="835">
        <v>44</v>
      </c>
      <c r="B47" s="840"/>
      <c r="C47" s="1145"/>
      <c r="D47" s="1531" t="s">
        <v>1433</v>
      </c>
      <c r="E47" s="1532"/>
      <c r="F47" s="1532"/>
      <c r="G47" s="1533"/>
      <c r="H47" s="1120">
        <f>-SUMIF('Sumaria renta 20x3'!G:G,'2516 20x3'!A47,'Sumaria renta 20x3'!C:C)</f>
        <v>0</v>
      </c>
      <c r="I47" s="1118"/>
      <c r="J47" s="842">
        <f t="shared" ref="J47" si="15">-IF((H47&gt;L47),(H47-L47),0)</f>
        <v>0</v>
      </c>
      <c r="K47" s="842">
        <f t="shared" ref="K47" si="16">-IF((H47&lt;L47),(L47-H47),0)</f>
        <v>0</v>
      </c>
      <c r="L47" s="842">
        <f>-SUMIF('Sumaria renta 20x3'!G:G,'2516 20x3'!A47,'Sumaria renta 20x3'!E:E)</f>
        <v>0</v>
      </c>
    </row>
    <row r="48" spans="1:12" outlineLevel="1" x14ac:dyDescent="0.2">
      <c r="A48" s="835">
        <v>45</v>
      </c>
      <c r="B48" s="840"/>
      <c r="C48" s="1145"/>
      <c r="D48" s="1531" t="s">
        <v>1446</v>
      </c>
      <c r="E48" s="1532"/>
      <c r="F48" s="1532"/>
      <c r="G48" s="1533"/>
      <c r="H48" s="1120">
        <f>-SUMIF('Sumaria renta 20x3'!G:G,'2516 20x3'!A48,'Sumaria renta 20x3'!C:C)</f>
        <v>0</v>
      </c>
      <c r="I48" s="1118"/>
      <c r="J48" s="842">
        <f>IF((H48&gt;L48),(H48-L48),0)</f>
        <v>0</v>
      </c>
      <c r="K48" s="842">
        <f>-IF((H48&lt;L48),(L48-H48),0)</f>
        <v>0</v>
      </c>
      <c r="L48" s="842">
        <f>-SUMIF('Sumaria renta 20x3'!G:G,'2516 20x3'!A48,'Sumaria renta 20x3'!E:E)</f>
        <v>0</v>
      </c>
    </row>
    <row r="49" spans="1:13" outlineLevel="1" x14ac:dyDescent="0.2">
      <c r="A49" s="835">
        <v>46</v>
      </c>
      <c r="B49" s="840"/>
      <c r="C49" s="1145"/>
      <c r="D49" s="1531" t="s">
        <v>1435</v>
      </c>
      <c r="E49" s="1532"/>
      <c r="F49" s="1532"/>
      <c r="G49" s="1533"/>
      <c r="H49" s="1120">
        <f>-SUMIF('Sumaria renta 20x3'!G:G,'2516 20x3'!A49,'Sumaria renta 20x3'!C:C)</f>
        <v>0</v>
      </c>
      <c r="I49" s="1118"/>
      <c r="J49" s="842">
        <f t="shared" ref="J49:J54" si="17">-IF((H49&gt;L49),(H49-L49),0)</f>
        <v>0</v>
      </c>
      <c r="K49" s="842">
        <f t="shared" ref="K49:K54" si="18">-IF((H49&lt;L49),(L49-H49),0)</f>
        <v>0</v>
      </c>
      <c r="L49" s="842">
        <f>-SUMIF('Sumaria renta 20x3'!G:G,'2516 20x3'!A49,'Sumaria renta 20x3'!E:E)</f>
        <v>0</v>
      </c>
    </row>
    <row r="50" spans="1:13" outlineLevel="1" x14ac:dyDescent="0.2">
      <c r="A50" s="835">
        <v>47</v>
      </c>
      <c r="B50" s="840"/>
      <c r="C50" s="1145"/>
      <c r="D50" s="1531" t="s">
        <v>1436</v>
      </c>
      <c r="E50" s="1532"/>
      <c r="F50" s="1532"/>
      <c r="G50" s="1533"/>
      <c r="H50" s="1120">
        <f>-SUMIF('Sumaria renta 20x3'!G:G,'2516 20x3'!A50,'Sumaria renta 20x3'!C:C)</f>
        <v>0</v>
      </c>
      <c r="I50" s="1118"/>
      <c r="J50" s="842">
        <f t="shared" si="17"/>
        <v>0</v>
      </c>
      <c r="K50" s="842">
        <f t="shared" si="18"/>
        <v>0</v>
      </c>
      <c r="L50" s="842">
        <f>-SUMIF('Sumaria renta 20x3'!G:G,'2516 20x3'!A50,'Sumaria renta 20x3'!E:E)</f>
        <v>0</v>
      </c>
    </row>
    <row r="51" spans="1:13" outlineLevel="1" x14ac:dyDescent="0.2">
      <c r="A51" s="835">
        <v>48</v>
      </c>
      <c r="B51" s="840"/>
      <c r="C51" s="1145"/>
      <c r="D51" s="1531" t="s">
        <v>1437</v>
      </c>
      <c r="E51" s="1532"/>
      <c r="F51" s="1532"/>
      <c r="G51" s="1533"/>
      <c r="H51" s="1120">
        <f>-SUMIF('Sumaria renta 20x3'!G:G,'2516 20x3'!A51,'Sumaria renta 20x3'!C:C)</f>
        <v>0</v>
      </c>
      <c r="I51" s="1118"/>
      <c r="J51" s="842">
        <f t="shared" si="17"/>
        <v>0</v>
      </c>
      <c r="K51" s="842">
        <f t="shared" si="18"/>
        <v>0</v>
      </c>
      <c r="L51" s="842">
        <f>-SUMIF('Sumaria renta 20x3'!G:G,'2516 20x3'!A51,'Sumaria renta 20x3'!E:E)</f>
        <v>0</v>
      </c>
    </row>
    <row r="52" spans="1:13" outlineLevel="1" x14ac:dyDescent="0.2">
      <c r="A52" s="835">
        <v>49</v>
      </c>
      <c r="B52" s="840"/>
      <c r="C52" s="1145"/>
      <c r="D52" s="1531" t="s">
        <v>1438</v>
      </c>
      <c r="E52" s="1532"/>
      <c r="F52" s="1532"/>
      <c r="G52" s="1533"/>
      <c r="H52" s="1120">
        <f>-SUMIF('Sumaria renta 20x3'!G:G,'2516 20x3'!A52,'Sumaria renta 20x3'!C:C)</f>
        <v>0</v>
      </c>
      <c r="I52" s="1118"/>
      <c r="J52" s="842">
        <f t="shared" si="17"/>
        <v>0</v>
      </c>
      <c r="K52" s="842">
        <f t="shared" si="18"/>
        <v>0</v>
      </c>
      <c r="L52" s="842">
        <f>-SUMIF('Sumaria renta 20x3'!G:G,'2516 20x3'!A52,'Sumaria renta 20x3'!E:E)</f>
        <v>0</v>
      </c>
    </row>
    <row r="53" spans="1:13" outlineLevel="1" x14ac:dyDescent="0.2">
      <c r="A53" s="835">
        <v>50</v>
      </c>
      <c r="B53" s="840"/>
      <c r="C53" s="1145"/>
      <c r="D53" s="1531" t="s">
        <v>1447</v>
      </c>
      <c r="E53" s="1532"/>
      <c r="F53" s="1532"/>
      <c r="G53" s="1533"/>
      <c r="H53" s="1120">
        <f>-SUMIF('Sumaria renta 20x3'!G:G,'2516 20x3'!A53,'Sumaria renta 20x3'!C:C)</f>
        <v>0</v>
      </c>
      <c r="I53" s="1118"/>
      <c r="J53" s="842">
        <f t="shared" si="17"/>
        <v>0</v>
      </c>
      <c r="K53" s="842">
        <f t="shared" si="18"/>
        <v>0</v>
      </c>
      <c r="L53" s="842">
        <f>-SUMIF('Sumaria renta 20x3'!G:G,'2516 20x3'!A53,'Sumaria renta 20x3'!E:E)</f>
        <v>0</v>
      </c>
    </row>
    <row r="54" spans="1:13" outlineLevel="1" x14ac:dyDescent="0.2">
      <c r="A54" s="835">
        <v>51</v>
      </c>
      <c r="B54" s="840"/>
      <c r="C54" s="1145"/>
      <c r="D54" s="1531" t="s">
        <v>1448</v>
      </c>
      <c r="E54" s="1532"/>
      <c r="F54" s="1532"/>
      <c r="G54" s="1533"/>
      <c r="H54" s="1120">
        <f>-SUMIF('Sumaria renta 20x3'!G:G,'2516 20x3'!A54,'Sumaria renta 20x3'!C:C)</f>
        <v>0</v>
      </c>
      <c r="I54" s="1118"/>
      <c r="J54" s="842">
        <f t="shared" si="17"/>
        <v>0</v>
      </c>
      <c r="K54" s="842">
        <f t="shared" si="18"/>
        <v>0</v>
      </c>
      <c r="L54" s="842">
        <f>-SUMIF('Sumaria renta 20x3'!G:G,'2516 20x3'!A54,'Sumaria renta 20x3'!E:E)</f>
        <v>0</v>
      </c>
    </row>
    <row r="55" spans="1:13" outlineLevel="1" x14ac:dyDescent="0.2">
      <c r="A55" s="837"/>
      <c r="B55" s="838"/>
      <c r="C55" s="1145"/>
      <c r="D55" s="1508" t="s">
        <v>143</v>
      </c>
      <c r="E55" s="1509"/>
      <c r="F55" s="1509"/>
      <c r="G55" s="1510"/>
      <c r="H55" s="1116">
        <f>+SUM(H56:H65)-H66</f>
        <v>0</v>
      </c>
      <c r="I55" s="1116">
        <f t="shared" ref="I55:L55" si="19">+SUM(I56:I65)-I66</f>
        <v>0</v>
      </c>
      <c r="J55" s="1116">
        <f>+SUM(J56:J65)+J66</f>
        <v>0</v>
      </c>
      <c r="K55" s="1116">
        <f t="shared" si="19"/>
        <v>0</v>
      </c>
      <c r="L55" s="1116">
        <f t="shared" si="19"/>
        <v>0</v>
      </c>
      <c r="M55" s="1161">
        <f>+L55-'110 Renta 20x3'!Q27</f>
        <v>0</v>
      </c>
    </row>
    <row r="56" spans="1:13" outlineLevel="1" x14ac:dyDescent="0.2">
      <c r="A56" s="835">
        <v>53</v>
      </c>
      <c r="B56" s="840"/>
      <c r="C56" s="1145"/>
      <c r="D56" s="1531" t="s">
        <v>1449</v>
      </c>
      <c r="E56" s="1532"/>
      <c r="F56" s="1532"/>
      <c r="G56" s="1533"/>
      <c r="H56" s="1120">
        <f>+SUMIF('Sumaria renta 20x3'!G:G,'2516 20x3'!A56,'Sumaria renta 20x3'!C:C)</f>
        <v>0</v>
      </c>
      <c r="I56" s="1118"/>
      <c r="J56" s="842">
        <f t="shared" ref="J56:J65" si="20">+IF((H56&gt;L56),(H56-L56),0)</f>
        <v>0</v>
      </c>
      <c r="K56" s="842">
        <f t="shared" ref="K56:K65" si="21">+IF((H56&lt;L56),(L56-H56),0)</f>
        <v>0</v>
      </c>
      <c r="L56" s="842">
        <f>+SUMIF('Sumaria renta 20x3'!G:G,'2516 20x3'!A56,'Sumaria renta 20x3'!E:E)</f>
        <v>0</v>
      </c>
    </row>
    <row r="57" spans="1:13" outlineLevel="1" x14ac:dyDescent="0.2">
      <c r="A57" s="835">
        <v>54</v>
      </c>
      <c r="B57" s="840"/>
      <c r="C57" s="1145"/>
      <c r="D57" s="1531" t="s">
        <v>1450</v>
      </c>
      <c r="E57" s="1532"/>
      <c r="F57" s="1532"/>
      <c r="G57" s="1533"/>
      <c r="H57" s="1120">
        <f>+SUMIF('Sumaria renta 20x3'!G:G,'2516 20x3'!A57,'Sumaria renta 20x3'!C:C)</f>
        <v>0</v>
      </c>
      <c r="I57" s="1118"/>
      <c r="J57" s="842">
        <f t="shared" si="20"/>
        <v>0</v>
      </c>
      <c r="K57" s="842">
        <f t="shared" si="21"/>
        <v>0</v>
      </c>
      <c r="L57" s="842">
        <f>+SUMIF('Sumaria renta 20x3'!G:G,'2516 20x3'!A57,'Sumaria renta 20x3'!E:E)</f>
        <v>0</v>
      </c>
    </row>
    <row r="58" spans="1:13" outlineLevel="1" x14ac:dyDescent="0.2">
      <c r="A58" s="835">
        <v>55</v>
      </c>
      <c r="B58" s="840"/>
      <c r="C58" s="1145"/>
      <c r="D58" s="1531" t="s">
        <v>1451</v>
      </c>
      <c r="E58" s="1532"/>
      <c r="F58" s="1532"/>
      <c r="G58" s="1533"/>
      <c r="H58" s="1120">
        <f>+SUMIF('Sumaria renta 20x3'!G:G,'2516 20x3'!A58,'Sumaria renta 20x3'!C:C)</f>
        <v>0</v>
      </c>
      <c r="I58" s="1118"/>
      <c r="J58" s="842">
        <f t="shared" si="20"/>
        <v>0</v>
      </c>
      <c r="K58" s="842">
        <f t="shared" si="21"/>
        <v>0</v>
      </c>
      <c r="L58" s="842">
        <f>+SUMIF('Sumaria renta 20x3'!G:G,'2516 20x3'!A58,'Sumaria renta 20x3'!E:E)</f>
        <v>0</v>
      </c>
    </row>
    <row r="59" spans="1:13" ht="28.5" customHeight="1" outlineLevel="1" x14ac:dyDescent="0.2">
      <c r="A59" s="835">
        <v>56</v>
      </c>
      <c r="B59" s="840"/>
      <c r="C59" s="1145"/>
      <c r="D59" s="1531" t="s">
        <v>1452</v>
      </c>
      <c r="E59" s="1532"/>
      <c r="F59" s="1532"/>
      <c r="G59" s="1533"/>
      <c r="H59" s="1120">
        <f>+SUMIF('Sumaria renta 20x3'!G:G,'2516 20x3'!A59,'Sumaria renta 20x3'!C:C)</f>
        <v>0</v>
      </c>
      <c r="I59" s="1118"/>
      <c r="J59" s="842">
        <f t="shared" si="20"/>
        <v>0</v>
      </c>
      <c r="K59" s="842">
        <f t="shared" si="21"/>
        <v>0</v>
      </c>
      <c r="L59" s="842">
        <f>+SUMIF('Sumaria renta 20x3'!G:G,'2516 20x3'!A59,'Sumaria renta 20x3'!E:E)</f>
        <v>0</v>
      </c>
    </row>
    <row r="60" spans="1:13" outlineLevel="1" x14ac:dyDescent="0.2">
      <c r="A60" s="835">
        <v>52</v>
      </c>
      <c r="B60" s="840"/>
      <c r="C60" s="1145"/>
      <c r="D60" s="1531" t="s">
        <v>1453</v>
      </c>
      <c r="E60" s="1532"/>
      <c r="F60" s="1532"/>
      <c r="G60" s="1533"/>
      <c r="H60" s="1120">
        <f>+SUMIF('Sumaria renta 20x3'!G:G,'2516 20x3'!A60,'Sumaria renta 20x3'!C:C)</f>
        <v>0</v>
      </c>
      <c r="I60" s="1118"/>
      <c r="J60" s="842">
        <f t="shared" si="20"/>
        <v>0</v>
      </c>
      <c r="K60" s="842">
        <f t="shared" si="21"/>
        <v>0</v>
      </c>
      <c r="L60" s="842">
        <f>+SUMIF('Sumaria renta 20x3'!G:G,'2516 20x3'!A60,'Sumaria renta 20x3'!E:E)</f>
        <v>0</v>
      </c>
    </row>
    <row r="61" spans="1:13" ht="24.75" customHeight="1" outlineLevel="1" x14ac:dyDescent="0.2">
      <c r="A61" s="835">
        <v>57</v>
      </c>
      <c r="B61" s="840"/>
      <c r="C61" s="1145"/>
      <c r="D61" s="1531" t="s">
        <v>1454</v>
      </c>
      <c r="E61" s="1532"/>
      <c r="F61" s="1532"/>
      <c r="G61" s="1533"/>
      <c r="H61" s="1120">
        <f>+SUMIF('Sumaria renta 20x3'!G:G,'2516 20x3'!A61,'Sumaria renta 20x3'!C:C)</f>
        <v>0</v>
      </c>
      <c r="I61" s="1118"/>
      <c r="J61" s="842">
        <f t="shared" si="20"/>
        <v>0</v>
      </c>
      <c r="K61" s="842">
        <f t="shared" si="21"/>
        <v>0</v>
      </c>
      <c r="L61" s="842">
        <f>+SUMIF('Sumaria renta 20x3'!G:G,'2516 20x3'!A61,'Sumaria renta 20x3'!E:E)</f>
        <v>0</v>
      </c>
    </row>
    <row r="62" spans="1:13" outlineLevel="1" x14ac:dyDescent="0.2">
      <c r="A62" s="835">
        <v>58</v>
      </c>
      <c r="B62" s="840"/>
      <c r="C62" s="1145"/>
      <c r="D62" s="1531" t="s">
        <v>1455</v>
      </c>
      <c r="E62" s="1532"/>
      <c r="F62" s="1532"/>
      <c r="G62" s="1533"/>
      <c r="H62" s="1120">
        <f>+SUMIF('Sumaria renta 20x3'!G:G,'2516 20x3'!A62,'Sumaria renta 20x3'!C:C)</f>
        <v>0</v>
      </c>
      <c r="I62" s="1118"/>
      <c r="J62" s="842">
        <f t="shared" si="20"/>
        <v>0</v>
      </c>
      <c r="K62" s="842">
        <f t="shared" si="21"/>
        <v>0</v>
      </c>
      <c r="L62" s="842">
        <f>+SUMIF('Sumaria renta 20x3'!G:G,'2516 20x3'!A62,'Sumaria renta 20x3'!E:E)</f>
        <v>0</v>
      </c>
    </row>
    <row r="63" spans="1:13" outlineLevel="1" x14ac:dyDescent="0.2">
      <c r="A63" s="835">
        <v>59</v>
      </c>
      <c r="B63" s="840"/>
      <c r="C63" s="1145"/>
      <c r="D63" s="1531" t="s">
        <v>1456</v>
      </c>
      <c r="E63" s="1532"/>
      <c r="F63" s="1532"/>
      <c r="G63" s="1533"/>
      <c r="H63" s="1120">
        <f>+SUMIF('Sumaria renta 20x3'!G:G,'2516 20x3'!A63,'Sumaria renta 20x3'!C:C)</f>
        <v>0</v>
      </c>
      <c r="I63" s="1118"/>
      <c r="J63" s="842">
        <f t="shared" si="20"/>
        <v>0</v>
      </c>
      <c r="K63" s="842">
        <f t="shared" si="21"/>
        <v>0</v>
      </c>
      <c r="L63" s="842">
        <f>+SUMIF('Sumaria renta 20x3'!G:G,'2516 20x3'!A63,'Sumaria renta 20x3'!E:E)</f>
        <v>0</v>
      </c>
    </row>
    <row r="64" spans="1:13" ht="27.75" customHeight="1" outlineLevel="1" x14ac:dyDescent="0.2">
      <c r="A64" s="835">
        <v>60</v>
      </c>
      <c r="B64" s="840"/>
      <c r="C64" s="1145"/>
      <c r="D64" s="1531" t="s">
        <v>1457</v>
      </c>
      <c r="E64" s="1532"/>
      <c r="F64" s="1532"/>
      <c r="G64" s="1533"/>
      <c r="H64" s="1120">
        <f>+SUMIF('Sumaria renta 20x3'!G:G,'2516 20x3'!A64,'Sumaria renta 20x3'!C:C)</f>
        <v>0</v>
      </c>
      <c r="I64" s="1118"/>
      <c r="J64" s="842">
        <f t="shared" si="20"/>
        <v>0</v>
      </c>
      <c r="K64" s="842">
        <f t="shared" si="21"/>
        <v>0</v>
      </c>
      <c r="L64" s="842">
        <f>+SUMIF('Sumaria renta 20x3'!G:G,'2516 20x3'!A64,'Sumaria renta 20x3'!E:E)</f>
        <v>0</v>
      </c>
    </row>
    <row r="65" spans="1:12" outlineLevel="1" x14ac:dyDescent="0.2">
      <c r="A65" s="835">
        <v>61</v>
      </c>
      <c r="B65" s="840"/>
      <c r="C65" s="1145"/>
      <c r="D65" s="1531" t="s">
        <v>1458</v>
      </c>
      <c r="E65" s="1532"/>
      <c r="F65" s="1532"/>
      <c r="G65" s="1533"/>
      <c r="H65" s="1120">
        <f>+SUMIF('Sumaria renta 20x3'!G:G,'2516 20x3'!A65,'Sumaria renta 20x3'!C:C)</f>
        <v>0</v>
      </c>
      <c r="I65" s="1118"/>
      <c r="J65" s="842">
        <f t="shared" si="20"/>
        <v>0</v>
      </c>
      <c r="K65" s="842">
        <f t="shared" si="21"/>
        <v>0</v>
      </c>
      <c r="L65" s="842">
        <f>+SUMIF('Sumaria renta 20x3'!G:G,'2516 20x3'!A65,'Sumaria renta 20x3'!E:E)</f>
        <v>0</v>
      </c>
    </row>
    <row r="66" spans="1:12" outlineLevel="1" x14ac:dyDescent="0.2">
      <c r="A66" s="835">
        <v>62</v>
      </c>
      <c r="B66" s="840"/>
      <c r="C66" s="1145"/>
      <c r="D66" s="1531" t="s">
        <v>1459</v>
      </c>
      <c r="E66" s="1532"/>
      <c r="F66" s="1532"/>
      <c r="G66" s="1533"/>
      <c r="H66" s="1120">
        <f>-SUMIF('Sumaria renta 20x3'!G:G,'2516 20x3'!A66,'Sumaria renta 20x3'!C:C)</f>
        <v>0</v>
      </c>
      <c r="I66" s="1118"/>
      <c r="J66" s="842">
        <f>IF((H66&gt;L66),(H66-L66),0)</f>
        <v>0</v>
      </c>
      <c r="K66" s="842">
        <f t="shared" ref="K66" si="22">-IF((H66&lt;L66),(L66-H66),0)</f>
        <v>0</v>
      </c>
      <c r="L66" s="842">
        <f>-SUMIF('Sumaria renta 20x3'!G:G,'2516 20x3'!A66,'Sumaria renta 20x3'!E:E)</f>
        <v>0</v>
      </c>
    </row>
    <row r="67" spans="1:12" outlineLevel="1" x14ac:dyDescent="0.2">
      <c r="A67" s="837"/>
      <c r="B67" s="838"/>
      <c r="C67" s="1145"/>
      <c r="D67" s="1508" t="s">
        <v>11</v>
      </c>
      <c r="E67" s="1509"/>
      <c r="F67" s="1509"/>
      <c r="G67" s="1510"/>
      <c r="H67" s="1116">
        <f>+SUM(H68:H71)</f>
        <v>0</v>
      </c>
      <c r="I67" s="1116">
        <f t="shared" ref="I67:L67" si="23">+SUM(I68:I71)</f>
        <v>0</v>
      </c>
      <c r="J67" s="1116">
        <f t="shared" si="23"/>
        <v>0</v>
      </c>
      <c r="K67" s="1116">
        <f t="shared" si="23"/>
        <v>0</v>
      </c>
      <c r="L67" s="1116">
        <f t="shared" si="23"/>
        <v>0</v>
      </c>
    </row>
    <row r="68" spans="1:12" outlineLevel="1" x14ac:dyDescent="0.2">
      <c r="A68" s="835">
        <v>64</v>
      </c>
      <c r="B68" s="840"/>
      <c r="C68" s="1145"/>
      <c r="D68" s="1531" t="s">
        <v>1460</v>
      </c>
      <c r="E68" s="1532"/>
      <c r="F68" s="1532"/>
      <c r="G68" s="1533"/>
      <c r="H68" s="1120">
        <f>+SUMIF('Sumaria renta 20x3'!G:G,'2516 20x3'!A68,'Sumaria renta 20x3'!C:C)</f>
        <v>0</v>
      </c>
      <c r="I68" s="1118"/>
      <c r="J68" s="842">
        <f t="shared" ref="J68:J71" si="24">+IF((H68&gt;L68),(H68-L68),0)</f>
        <v>0</v>
      </c>
      <c r="K68" s="842">
        <f t="shared" ref="K68:K71" si="25">+IF((H68&lt;L68),(L68-H68),0)</f>
        <v>0</v>
      </c>
      <c r="L68" s="842">
        <f>+SUMIF('Sumaria renta 20x3'!G:G,'2516 20x3'!A68,'Sumaria renta 20x3'!E:E)</f>
        <v>0</v>
      </c>
    </row>
    <row r="69" spans="1:12" outlineLevel="1" x14ac:dyDescent="0.2">
      <c r="A69" s="835">
        <v>65</v>
      </c>
      <c r="B69" s="840"/>
      <c r="C69" s="1145"/>
      <c r="D69" s="1531" t="s">
        <v>1461</v>
      </c>
      <c r="E69" s="1532"/>
      <c r="F69" s="1532"/>
      <c r="G69" s="1533"/>
      <c r="H69" s="1120">
        <f>+SUMIF('Sumaria renta 20x3'!G:G,'2516 20x3'!A69,'Sumaria renta 20x3'!C:C)</f>
        <v>0</v>
      </c>
      <c r="I69" s="1118"/>
      <c r="J69" s="842">
        <f t="shared" si="24"/>
        <v>0</v>
      </c>
      <c r="K69" s="842">
        <f t="shared" si="25"/>
        <v>0</v>
      </c>
      <c r="L69" s="842">
        <f>+SUMIF('Sumaria renta 20x3'!G:G,'2516 20x3'!A69,'Sumaria renta 20x3'!E:E)</f>
        <v>0</v>
      </c>
    </row>
    <row r="70" spans="1:12" outlineLevel="1" x14ac:dyDescent="0.2">
      <c r="A70" s="835">
        <v>66</v>
      </c>
      <c r="B70" s="840"/>
      <c r="C70" s="1145"/>
      <c r="D70" s="1531" t="s">
        <v>79</v>
      </c>
      <c r="E70" s="1532"/>
      <c r="F70" s="1532"/>
      <c r="G70" s="1533"/>
      <c r="H70" s="1120">
        <f>+SUMIF('Sumaria renta 20x3'!G:G,'2516 20x3'!A70,'Sumaria renta 20x3'!C:C)</f>
        <v>0</v>
      </c>
      <c r="I70" s="1118"/>
      <c r="J70" s="842">
        <f t="shared" si="24"/>
        <v>0</v>
      </c>
      <c r="K70" s="842">
        <f t="shared" si="25"/>
        <v>0</v>
      </c>
      <c r="L70" s="842">
        <f>+SUMIF('Sumaria renta 20x3'!G:G,'2516 20x3'!A70,'Sumaria renta 20x3'!E:E)</f>
        <v>0</v>
      </c>
    </row>
    <row r="71" spans="1:12" outlineLevel="1" x14ac:dyDescent="0.2">
      <c r="A71" s="835">
        <v>67</v>
      </c>
      <c r="B71" s="840"/>
      <c r="C71" s="1145"/>
      <c r="D71" s="1531" t="s">
        <v>1429</v>
      </c>
      <c r="E71" s="1532"/>
      <c r="F71" s="1532"/>
      <c r="G71" s="1533"/>
      <c r="H71" s="1120">
        <f>+SUMIF('Sumaria renta 20x3'!G:G,'2516 20x3'!A71,'Sumaria renta 20x3'!C:C)</f>
        <v>0</v>
      </c>
      <c r="I71" s="1118"/>
      <c r="J71" s="842">
        <f t="shared" si="24"/>
        <v>0</v>
      </c>
      <c r="K71" s="842">
        <f t="shared" si="25"/>
        <v>0</v>
      </c>
      <c r="L71" s="842">
        <f>+SUMIF('Sumaria renta 20x3'!G:G,'2516 20x3'!A71,'Sumaria renta 20x3'!E:E)</f>
        <v>0</v>
      </c>
    </row>
    <row r="72" spans="1:12" outlineLevel="1" x14ac:dyDescent="0.2">
      <c r="A72" s="837"/>
      <c r="B72" s="838"/>
      <c r="C72" s="1145"/>
      <c r="D72" s="1508" t="s">
        <v>1462</v>
      </c>
      <c r="E72" s="1509"/>
      <c r="F72" s="1509"/>
      <c r="G72" s="1510"/>
      <c r="H72" s="1116">
        <f>SUM(H73:H77)</f>
        <v>0</v>
      </c>
      <c r="I72" s="1116">
        <f t="shared" ref="I72:L72" si="26">SUM(I73:I77)</f>
        <v>0</v>
      </c>
      <c r="J72" s="1116">
        <f t="shared" si="26"/>
        <v>0</v>
      </c>
      <c r="K72" s="1116">
        <f t="shared" si="26"/>
        <v>0</v>
      </c>
      <c r="L72" s="1116">
        <f t="shared" si="26"/>
        <v>0</v>
      </c>
    </row>
    <row r="73" spans="1:12" outlineLevel="1" x14ac:dyDescent="0.2">
      <c r="A73" s="835">
        <v>69</v>
      </c>
      <c r="B73" s="840"/>
      <c r="C73" s="1145"/>
      <c r="D73" s="1531" t="s">
        <v>1463</v>
      </c>
      <c r="E73" s="1532"/>
      <c r="F73" s="1532"/>
      <c r="G73" s="1533"/>
      <c r="H73" s="1120">
        <f>+SUMIF('Sumaria renta 20x3'!G:G,'2516 20x3'!A73,'Sumaria renta 20x3'!C:C)</f>
        <v>0</v>
      </c>
      <c r="I73" s="1118"/>
      <c r="J73" s="842">
        <f t="shared" ref="J73:J76" si="27">+IF((H73&gt;L73),(H73-L73),0)</f>
        <v>0</v>
      </c>
      <c r="K73" s="842">
        <f t="shared" ref="K73:K76" si="28">+IF((H73&lt;L73),(L73-H73),0)</f>
        <v>0</v>
      </c>
      <c r="L73" s="842">
        <f>+SUMIF('Sumaria renta 20x3'!G:G,'2516 20x3'!A73,'Sumaria renta 20x3'!E:E)</f>
        <v>0</v>
      </c>
    </row>
    <row r="74" spans="1:12" outlineLevel="1" x14ac:dyDescent="0.2">
      <c r="A74" s="835">
        <v>70</v>
      </c>
      <c r="B74" s="840"/>
      <c r="C74" s="1145"/>
      <c r="D74" s="1531" t="s">
        <v>1464</v>
      </c>
      <c r="E74" s="1532"/>
      <c r="F74" s="1532"/>
      <c r="G74" s="1533"/>
      <c r="H74" s="1120">
        <f>+SUMIF('Sumaria renta 20x3'!G:G,'2516 20x3'!A74,'Sumaria renta 20x3'!C:C)</f>
        <v>0</v>
      </c>
      <c r="I74" s="1118"/>
      <c r="J74" s="842">
        <f t="shared" si="27"/>
        <v>0</v>
      </c>
      <c r="K74" s="842">
        <f t="shared" si="28"/>
        <v>0</v>
      </c>
      <c r="L74" s="842">
        <f>+SUMIF('Sumaria renta 20x3'!G:G,'2516 20x3'!A74,'Sumaria renta 20x3'!E:E)</f>
        <v>0</v>
      </c>
    </row>
    <row r="75" spans="1:12" outlineLevel="1" x14ac:dyDescent="0.2">
      <c r="A75" s="835">
        <v>71</v>
      </c>
      <c r="B75" s="840"/>
      <c r="C75" s="1145"/>
      <c r="D75" s="1531" t="s">
        <v>1465</v>
      </c>
      <c r="E75" s="1532"/>
      <c r="F75" s="1532"/>
      <c r="G75" s="1533"/>
      <c r="H75" s="1120">
        <f>+SUMIF('Sumaria renta 20x3'!G:G,'2516 20x3'!A75,'Sumaria renta 20x3'!C:C)</f>
        <v>0</v>
      </c>
      <c r="I75" s="1118"/>
      <c r="J75" s="842">
        <f t="shared" si="27"/>
        <v>0</v>
      </c>
      <c r="K75" s="842">
        <f t="shared" si="28"/>
        <v>0</v>
      </c>
      <c r="L75" s="842">
        <f>+SUMIF('Sumaria renta 20x3'!G:G,'2516 20x3'!A75,'Sumaria renta 20x3'!E:E)</f>
        <v>0</v>
      </c>
    </row>
    <row r="76" spans="1:12" outlineLevel="1" x14ac:dyDescent="0.2">
      <c r="A76" s="835">
        <v>72</v>
      </c>
      <c r="B76" s="840"/>
      <c r="C76" s="1145"/>
      <c r="D76" s="1531" t="s">
        <v>1466</v>
      </c>
      <c r="E76" s="1532"/>
      <c r="F76" s="1532"/>
      <c r="G76" s="1533"/>
      <c r="H76" s="1120">
        <f>+SUMIF('Sumaria renta 20x3'!G:G,'2516 20x3'!A76,'Sumaria renta 20x3'!C:C)</f>
        <v>0</v>
      </c>
      <c r="I76" s="1118"/>
      <c r="J76" s="842">
        <f t="shared" si="27"/>
        <v>0</v>
      </c>
      <c r="K76" s="842">
        <f t="shared" si="28"/>
        <v>0</v>
      </c>
      <c r="L76" s="842">
        <f>+SUMIF('Sumaria renta 20x3'!G:G,'2516 20x3'!A76,'Sumaria renta 20x3'!E:E)</f>
        <v>0</v>
      </c>
    </row>
    <row r="77" spans="1:12" outlineLevel="1" x14ac:dyDescent="0.2">
      <c r="A77" s="835">
        <v>73</v>
      </c>
      <c r="B77" s="840"/>
      <c r="C77" s="1145"/>
      <c r="D77" s="1531" t="s">
        <v>144</v>
      </c>
      <c r="E77" s="1532"/>
      <c r="F77" s="1532"/>
      <c r="G77" s="1533"/>
      <c r="H77" s="1120">
        <f>+SUMIF('Sumaria renta 20x3'!G:G,'2516 20x3'!A77,'Sumaria renta 20x3'!C:C)</f>
        <v>0</v>
      </c>
      <c r="I77" s="1118"/>
      <c r="J77" s="842">
        <f t="shared" ref="J77" si="29">+IF((H77&gt;L77),(H77-L77),0)</f>
        <v>0</v>
      </c>
      <c r="K77" s="844"/>
      <c r="L77" s="844">
        <v>0</v>
      </c>
    </row>
    <row r="78" spans="1:12" outlineLevel="1" x14ac:dyDescent="0.2">
      <c r="A78" s="837"/>
      <c r="B78" s="838"/>
      <c r="C78" s="1145"/>
      <c r="D78" s="1508" t="s">
        <v>431</v>
      </c>
      <c r="E78" s="1509"/>
      <c r="F78" s="1509"/>
      <c r="G78" s="1510"/>
      <c r="H78" s="1116">
        <f>+SUM(H79:H85)-H86-H87</f>
        <v>0</v>
      </c>
      <c r="I78" s="1116">
        <f t="shared" ref="I78:L78" si="30">+SUM(I79:I85)-I86-I87</f>
        <v>0</v>
      </c>
      <c r="J78" s="1116">
        <f t="shared" si="30"/>
        <v>0</v>
      </c>
      <c r="K78" s="1116">
        <f t="shared" si="30"/>
        <v>0</v>
      </c>
      <c r="L78" s="1116">
        <f t="shared" si="30"/>
        <v>0</v>
      </c>
    </row>
    <row r="79" spans="1:12" outlineLevel="1" x14ac:dyDescent="0.2">
      <c r="A79" s="835">
        <v>75</v>
      </c>
      <c r="B79" s="840"/>
      <c r="C79" s="1145"/>
      <c r="D79" s="1531" t="s">
        <v>1467</v>
      </c>
      <c r="E79" s="1532"/>
      <c r="F79" s="1532"/>
      <c r="G79" s="1533"/>
      <c r="H79" s="1120">
        <f>+SUMIF('Sumaria renta 20x3'!G:G,'2516 20x3'!A79,'Sumaria renta 20x3'!C:C)</f>
        <v>0</v>
      </c>
      <c r="I79" s="1118"/>
      <c r="J79" s="842">
        <f t="shared" ref="J79:J87" si="31">+IF((H79&gt;L79),(H79-L79),0)</f>
        <v>0</v>
      </c>
      <c r="K79" s="842">
        <f t="shared" ref="K79:K87" si="32">+IF((H79&lt;L79),(L79-H79),0)</f>
        <v>0</v>
      </c>
      <c r="L79" s="842">
        <f>+SUMIF('Sumaria renta 20x3'!G:G,'2516 20x3'!A79,'Sumaria renta 20x3'!E:E)</f>
        <v>0</v>
      </c>
    </row>
    <row r="80" spans="1:12" outlineLevel="1" x14ac:dyDescent="0.2">
      <c r="A80" s="835">
        <v>76</v>
      </c>
      <c r="B80" s="840"/>
      <c r="C80" s="1145"/>
      <c r="D80" s="1531" t="s">
        <v>1468</v>
      </c>
      <c r="E80" s="1532"/>
      <c r="F80" s="1532"/>
      <c r="G80" s="1533"/>
      <c r="H80" s="1120">
        <f>+SUMIF('Sumaria renta 20x3'!G:G,'2516 20x3'!A80,'Sumaria renta 20x3'!C:C)</f>
        <v>0</v>
      </c>
      <c r="I80" s="1118"/>
      <c r="J80" s="842">
        <f t="shared" si="31"/>
        <v>0</v>
      </c>
      <c r="K80" s="842">
        <f t="shared" si="32"/>
        <v>0</v>
      </c>
      <c r="L80" s="842">
        <f>+SUMIF('Sumaria renta 20x3'!G:G,'2516 20x3'!A80,'Sumaria renta 20x3'!E:E)</f>
        <v>0</v>
      </c>
    </row>
    <row r="81" spans="1:13" outlineLevel="1" x14ac:dyDescent="0.2">
      <c r="A81" s="835">
        <v>77</v>
      </c>
      <c r="B81" s="840"/>
      <c r="C81" s="1514" t="s">
        <v>1469</v>
      </c>
      <c r="D81" s="1531" t="s">
        <v>991</v>
      </c>
      <c r="E81" s="1532"/>
      <c r="F81" s="1532"/>
      <c r="G81" s="1533"/>
      <c r="H81" s="1120">
        <f>+SUMIF('Sumaria renta 20x3'!G:G,'2516 20x3'!A81,'Sumaria renta 20x3'!C:C)</f>
        <v>0</v>
      </c>
      <c r="I81" s="1118"/>
      <c r="J81" s="842">
        <f t="shared" si="31"/>
        <v>0</v>
      </c>
      <c r="K81" s="842">
        <f t="shared" si="32"/>
        <v>0</v>
      </c>
      <c r="L81" s="842">
        <f>+SUMIF('Sumaria renta 20x3'!G:G,'2516 20x3'!A81,'Sumaria renta 20x3'!E:E)</f>
        <v>0</v>
      </c>
    </row>
    <row r="82" spans="1:13" outlineLevel="1" x14ac:dyDescent="0.2">
      <c r="A82" s="835">
        <v>78</v>
      </c>
      <c r="B82" s="840"/>
      <c r="C82" s="1514"/>
      <c r="D82" s="1531" t="s">
        <v>1470</v>
      </c>
      <c r="E82" s="1532"/>
      <c r="F82" s="1532"/>
      <c r="G82" s="1533"/>
      <c r="H82" s="1120">
        <f>+SUMIF('Sumaria renta 20x3'!G:G,'2516 20x3'!A82,'Sumaria renta 20x3'!C:C)</f>
        <v>0</v>
      </c>
      <c r="I82" s="1118"/>
      <c r="J82" s="842">
        <f t="shared" si="31"/>
        <v>0</v>
      </c>
      <c r="K82" s="842">
        <f t="shared" si="32"/>
        <v>0</v>
      </c>
      <c r="L82" s="842">
        <f>+SUMIF('Sumaria renta 20x3'!G:G,'2516 20x3'!A82,'Sumaria renta 20x3'!E:E)</f>
        <v>0</v>
      </c>
    </row>
    <row r="83" spans="1:13" ht="25.5" customHeight="1" outlineLevel="1" x14ac:dyDescent="0.2">
      <c r="A83" s="835">
        <v>79</v>
      </c>
      <c r="B83" s="840"/>
      <c r="C83" s="1145"/>
      <c r="D83" s="1531" t="s">
        <v>1471</v>
      </c>
      <c r="E83" s="1532"/>
      <c r="F83" s="1532"/>
      <c r="G83" s="1533"/>
      <c r="H83" s="1120">
        <f>+SUMIF('Sumaria renta 20x3'!G:G,'2516 20x3'!A83,'Sumaria renta 20x3'!C:C)</f>
        <v>0</v>
      </c>
      <c r="I83" s="1118"/>
      <c r="J83" s="842">
        <f t="shared" si="31"/>
        <v>0</v>
      </c>
      <c r="K83" s="842">
        <f t="shared" si="32"/>
        <v>0</v>
      </c>
      <c r="L83" s="842">
        <f>+SUMIF('Sumaria renta 20x3'!G:G,'2516 20x3'!A83,'Sumaria renta 20x3'!E:E)</f>
        <v>0</v>
      </c>
    </row>
    <row r="84" spans="1:13" outlineLevel="1" x14ac:dyDescent="0.2">
      <c r="A84" s="835">
        <v>80</v>
      </c>
      <c r="B84" s="840"/>
      <c r="C84" s="1514" t="s">
        <v>1472</v>
      </c>
      <c r="D84" s="1531" t="s">
        <v>81</v>
      </c>
      <c r="E84" s="1532"/>
      <c r="F84" s="1532"/>
      <c r="G84" s="1533"/>
      <c r="H84" s="1120">
        <f>+SUMIF('Sumaria renta 20x3'!G:G,'2516 20x3'!A84,'Sumaria renta 20x3'!C:C)</f>
        <v>0</v>
      </c>
      <c r="I84" s="1118"/>
      <c r="J84" s="842">
        <f t="shared" si="31"/>
        <v>0</v>
      </c>
      <c r="K84" s="842">
        <f t="shared" si="32"/>
        <v>0</v>
      </c>
      <c r="L84" s="842">
        <f>+SUMIF('Sumaria renta 20x3'!G:G,'2516 20x3'!A84,'Sumaria renta 20x3'!E:E)</f>
        <v>0</v>
      </c>
    </row>
    <row r="85" spans="1:13" outlineLevel="1" x14ac:dyDescent="0.2">
      <c r="A85" s="835">
        <v>81</v>
      </c>
      <c r="B85" s="840"/>
      <c r="C85" s="1514"/>
      <c r="D85" s="1531" t="s">
        <v>1470</v>
      </c>
      <c r="E85" s="1532"/>
      <c r="F85" s="1532"/>
      <c r="G85" s="1533"/>
      <c r="H85" s="1120">
        <f>+SUMIF('Sumaria renta 20x3'!G:G,'2516 20x3'!A85,'Sumaria renta 20x3'!C:C)</f>
        <v>0</v>
      </c>
      <c r="I85" s="1118"/>
      <c r="J85" s="842">
        <f t="shared" si="31"/>
        <v>0</v>
      </c>
      <c r="K85" s="842">
        <f t="shared" si="32"/>
        <v>0</v>
      </c>
      <c r="L85" s="842">
        <f>+SUMIF('Sumaria renta 20x3'!G:G,'2516 20x3'!A85,'Sumaria renta 20x3'!E:E)</f>
        <v>0</v>
      </c>
    </row>
    <row r="86" spans="1:13" ht="27" customHeight="1" outlineLevel="1" x14ac:dyDescent="0.2">
      <c r="A86" s="835">
        <v>82</v>
      </c>
      <c r="B86" s="840"/>
      <c r="C86" s="1145"/>
      <c r="D86" s="1531" t="s">
        <v>1473</v>
      </c>
      <c r="E86" s="1532"/>
      <c r="F86" s="1532"/>
      <c r="G86" s="1533"/>
      <c r="H86" s="1120">
        <f>-SUMIF('Sumaria renta 20x3'!G:G,'2516 20x3'!A86,'Sumaria renta 20x3'!C:C)</f>
        <v>0</v>
      </c>
      <c r="I86" s="1118"/>
      <c r="J86" s="842">
        <f t="shared" si="31"/>
        <v>0</v>
      </c>
      <c r="K86" s="842">
        <f t="shared" si="32"/>
        <v>0</v>
      </c>
      <c r="L86" s="842">
        <f>-SUMIF('Sumaria renta 20x3'!G:G,'2516 20x3'!A86,'Sumaria renta 20x3'!E:E)</f>
        <v>0</v>
      </c>
    </row>
    <row r="87" spans="1:13" outlineLevel="1" x14ac:dyDescent="0.2">
      <c r="A87" s="835">
        <v>83</v>
      </c>
      <c r="B87" s="840"/>
      <c r="C87" s="1145"/>
      <c r="D87" s="1531" t="s">
        <v>1474</v>
      </c>
      <c r="E87" s="1532"/>
      <c r="F87" s="1532"/>
      <c r="G87" s="1533"/>
      <c r="H87" s="1120">
        <f>+SUMIF('Sumaria renta 20x3'!G:G,'2516 20x3'!A87,'Sumaria renta 20x3'!C:C)</f>
        <v>0</v>
      </c>
      <c r="I87" s="1118"/>
      <c r="J87" s="842">
        <f t="shared" si="31"/>
        <v>0</v>
      </c>
      <c r="K87" s="842">
        <f t="shared" si="32"/>
        <v>0</v>
      </c>
      <c r="L87" s="842">
        <f>+SUMIF('Sumaria renta 20x3'!G:G,'2516 20x3'!A87,'Sumaria renta 20x3'!E:E)</f>
        <v>0</v>
      </c>
    </row>
    <row r="88" spans="1:13" outlineLevel="1" x14ac:dyDescent="0.2">
      <c r="A88" s="837"/>
      <c r="B88" s="838"/>
      <c r="C88" s="1145"/>
      <c r="D88" s="1508" t="s">
        <v>1475</v>
      </c>
      <c r="E88" s="1509"/>
      <c r="F88" s="1509"/>
      <c r="G88" s="1510"/>
      <c r="H88" s="1116">
        <f>+H89+H100</f>
        <v>0</v>
      </c>
      <c r="I88" s="1116">
        <f t="shared" ref="I88:L88" si="33">+I89+I100</f>
        <v>0</v>
      </c>
      <c r="J88" s="1116">
        <f t="shared" si="33"/>
        <v>0</v>
      </c>
      <c r="K88" s="1116">
        <f t="shared" si="33"/>
        <v>0</v>
      </c>
      <c r="L88" s="1116">
        <f t="shared" si="33"/>
        <v>0</v>
      </c>
      <c r="M88" s="1161">
        <f>+L88-'110 Renta 20x3'!Q28</f>
        <v>0</v>
      </c>
    </row>
    <row r="89" spans="1:13" outlineLevel="1" x14ac:dyDescent="0.2">
      <c r="A89" s="837"/>
      <c r="B89" s="838"/>
      <c r="C89" s="1145"/>
      <c r="D89" s="1508" t="s">
        <v>1476</v>
      </c>
      <c r="E89" s="1509"/>
      <c r="F89" s="1509"/>
      <c r="G89" s="1510"/>
      <c r="H89" s="1116">
        <f>SUM(H90:H97)-H98-H99</f>
        <v>0</v>
      </c>
      <c r="I89" s="1116">
        <f t="shared" ref="I89:L89" si="34">SUM(I90:I97)-I98-I99</f>
        <v>0</v>
      </c>
      <c r="J89" s="1116">
        <f t="shared" si="34"/>
        <v>0</v>
      </c>
      <c r="K89" s="1116">
        <f t="shared" si="34"/>
        <v>0</v>
      </c>
      <c r="L89" s="1116">
        <f t="shared" si="34"/>
        <v>0</v>
      </c>
    </row>
    <row r="90" spans="1:13" outlineLevel="1" x14ac:dyDescent="0.2">
      <c r="A90" s="835">
        <v>86</v>
      </c>
      <c r="B90" s="840"/>
      <c r="C90" s="1145"/>
      <c r="D90" s="1531" t="s">
        <v>1477</v>
      </c>
      <c r="E90" s="1532"/>
      <c r="F90" s="1532"/>
      <c r="G90" s="1533"/>
      <c r="H90" s="1120">
        <f>+SUMIF('Sumaria renta 20x3'!G:G,'2516 20x3'!A90,'Sumaria renta 20x3'!C:C)</f>
        <v>0</v>
      </c>
      <c r="I90" s="1118"/>
      <c r="J90" s="842">
        <f t="shared" ref="J90:J99" si="35">+IF((H90&gt;L90),(H90-L90),0)</f>
        <v>0</v>
      </c>
      <c r="K90" s="842">
        <f t="shared" ref="K90:K99" si="36">+IF((H90&lt;L90),(L90-H90),0)</f>
        <v>0</v>
      </c>
      <c r="L90" s="842">
        <f>+SUMIF('Sumaria renta 20x3'!G:G,'2516 20x3'!A90,'Sumaria renta 20x3'!E:E)</f>
        <v>0</v>
      </c>
    </row>
    <row r="91" spans="1:13" ht="29.25" customHeight="1" outlineLevel="1" x14ac:dyDescent="0.2">
      <c r="A91" s="835">
        <v>87</v>
      </c>
      <c r="B91" s="840"/>
      <c r="C91" s="1145"/>
      <c r="D91" s="1531" t="s">
        <v>1478</v>
      </c>
      <c r="E91" s="1532"/>
      <c r="F91" s="1532"/>
      <c r="G91" s="1533"/>
      <c r="H91" s="1120">
        <f>+SUMIF('Sumaria renta 20x3'!G:G,'2516 20x3'!A91,'Sumaria renta 20x3'!C:C)</f>
        <v>0</v>
      </c>
      <c r="I91" s="1118"/>
      <c r="J91" s="842">
        <f t="shared" si="35"/>
        <v>0</v>
      </c>
      <c r="K91" s="842">
        <f t="shared" si="36"/>
        <v>0</v>
      </c>
      <c r="L91" s="842">
        <f>+SUMIF('Sumaria renta 20x3'!G:G,'2516 20x3'!A91,'Sumaria renta 20x3'!E:E)</f>
        <v>0</v>
      </c>
    </row>
    <row r="92" spans="1:13" outlineLevel="1" x14ac:dyDescent="0.2">
      <c r="A92" s="835">
        <v>88</v>
      </c>
      <c r="B92" s="840"/>
      <c r="C92" s="1514" t="s">
        <v>1479</v>
      </c>
      <c r="D92" s="1531" t="s">
        <v>991</v>
      </c>
      <c r="E92" s="1532"/>
      <c r="F92" s="1532"/>
      <c r="G92" s="1533"/>
      <c r="H92" s="1120">
        <f>+SUMIF('Sumaria renta 20x3'!G:G,'2516 20x3'!A92,'Sumaria renta 20x3'!C:C)</f>
        <v>0</v>
      </c>
      <c r="I92" s="1118"/>
      <c r="J92" s="842">
        <f t="shared" si="35"/>
        <v>0</v>
      </c>
      <c r="K92" s="842">
        <f t="shared" si="36"/>
        <v>0</v>
      </c>
      <c r="L92" s="842">
        <f>+SUMIF('Sumaria renta 20x3'!G:G,'2516 20x3'!A92,'Sumaria renta 20x3'!E:E)</f>
        <v>0</v>
      </c>
    </row>
    <row r="93" spans="1:13" outlineLevel="1" x14ac:dyDescent="0.2">
      <c r="A93" s="835">
        <v>89</v>
      </c>
      <c r="B93" s="840"/>
      <c r="C93" s="1514"/>
      <c r="D93" s="1531" t="s">
        <v>1470</v>
      </c>
      <c r="E93" s="1532"/>
      <c r="F93" s="1532"/>
      <c r="G93" s="1533"/>
      <c r="H93" s="1120">
        <f>+SUMIF('Sumaria renta 20x3'!G:G,'2516 20x3'!A93,'Sumaria renta 20x3'!C:C)</f>
        <v>0</v>
      </c>
      <c r="I93" s="1118"/>
      <c r="J93" s="842">
        <f t="shared" si="35"/>
        <v>0</v>
      </c>
      <c r="K93" s="842">
        <f t="shared" si="36"/>
        <v>0</v>
      </c>
      <c r="L93" s="842">
        <f>+SUMIF('Sumaria renta 20x3'!G:G,'2516 20x3'!A93,'Sumaria renta 20x3'!E:E)</f>
        <v>0</v>
      </c>
    </row>
    <row r="94" spans="1:13" outlineLevel="1" x14ac:dyDescent="0.2">
      <c r="A94" s="835">
        <v>90</v>
      </c>
      <c r="B94" s="840"/>
      <c r="C94" s="1514" t="s">
        <v>1480</v>
      </c>
      <c r="D94" s="1531" t="s">
        <v>81</v>
      </c>
      <c r="E94" s="1532"/>
      <c r="F94" s="1532"/>
      <c r="G94" s="1533"/>
      <c r="H94" s="1120">
        <f>+SUMIF('Sumaria renta 20x3'!G:G,'2516 20x3'!A94,'Sumaria renta 20x3'!C:C)</f>
        <v>0</v>
      </c>
      <c r="I94" s="1118"/>
      <c r="J94" s="842">
        <f t="shared" si="35"/>
        <v>0</v>
      </c>
      <c r="K94" s="842">
        <f t="shared" si="36"/>
        <v>0</v>
      </c>
      <c r="L94" s="842">
        <f>+SUMIF('Sumaria renta 20x3'!G:G,'2516 20x3'!A94,'Sumaria renta 20x3'!E:E)</f>
        <v>0</v>
      </c>
    </row>
    <row r="95" spans="1:13" outlineLevel="1" x14ac:dyDescent="0.2">
      <c r="A95" s="835">
        <v>91</v>
      </c>
      <c r="B95" s="840"/>
      <c r="C95" s="1514"/>
      <c r="D95" s="1531" t="s">
        <v>1470</v>
      </c>
      <c r="E95" s="1532"/>
      <c r="F95" s="1532"/>
      <c r="G95" s="1533"/>
      <c r="H95" s="1120">
        <f>+SUMIF('Sumaria renta 20x3'!G:G,'2516 20x3'!A95,'Sumaria renta 20x3'!C:C)</f>
        <v>0</v>
      </c>
      <c r="I95" s="1118"/>
      <c r="J95" s="842">
        <f t="shared" si="35"/>
        <v>0</v>
      </c>
      <c r="K95" s="842">
        <f t="shared" si="36"/>
        <v>0</v>
      </c>
      <c r="L95" s="842">
        <f>+SUMIF('Sumaria renta 20x3'!G:G,'2516 20x3'!A95,'Sumaria renta 20x3'!E:E)</f>
        <v>0</v>
      </c>
    </row>
    <row r="96" spans="1:13" outlineLevel="1" x14ac:dyDescent="0.2">
      <c r="A96" s="835">
        <v>92</v>
      </c>
      <c r="B96" s="840"/>
      <c r="C96" s="1514" t="s">
        <v>1481</v>
      </c>
      <c r="D96" s="1531" t="s">
        <v>991</v>
      </c>
      <c r="E96" s="1532"/>
      <c r="F96" s="1532"/>
      <c r="G96" s="1533"/>
      <c r="H96" s="1120">
        <f>+SUMIF('Sumaria renta 20x3'!G:G,'2516 20x3'!A96,'Sumaria renta 20x3'!C:C)</f>
        <v>0</v>
      </c>
      <c r="I96" s="1118"/>
      <c r="J96" s="842">
        <f t="shared" si="35"/>
        <v>0</v>
      </c>
      <c r="K96" s="842">
        <f t="shared" si="36"/>
        <v>0</v>
      </c>
      <c r="L96" s="842">
        <f>+SUMIF('Sumaria renta 20x3'!G:G,'2516 20x3'!A96,'Sumaria renta 20x3'!E:E)</f>
        <v>0</v>
      </c>
    </row>
    <row r="97" spans="1:12" outlineLevel="1" x14ac:dyDescent="0.2">
      <c r="A97" s="835">
        <v>93</v>
      </c>
      <c r="B97" s="840"/>
      <c r="C97" s="1514"/>
      <c r="D97" s="1531" t="s">
        <v>1470</v>
      </c>
      <c r="E97" s="1532"/>
      <c r="F97" s="1532"/>
      <c r="G97" s="1533"/>
      <c r="H97" s="1120">
        <f>+SUMIF('Sumaria renta 20x3'!G:G,'2516 20x3'!A97,'Sumaria renta 20x3'!C:C)</f>
        <v>0</v>
      </c>
      <c r="I97" s="1118"/>
      <c r="J97" s="842">
        <f t="shared" si="35"/>
        <v>0</v>
      </c>
      <c r="K97" s="842">
        <f t="shared" si="36"/>
        <v>0</v>
      </c>
      <c r="L97" s="842">
        <f>+SUMIF('Sumaria renta 20x3'!G:G,'2516 20x3'!A97,'Sumaria renta 20x3'!E:E)</f>
        <v>0</v>
      </c>
    </row>
    <row r="98" spans="1:12" ht="23.25" customHeight="1" outlineLevel="1" x14ac:dyDescent="0.2">
      <c r="A98" s="835">
        <v>94</v>
      </c>
      <c r="B98" s="840"/>
      <c r="C98" s="1145"/>
      <c r="D98" s="1531" t="s">
        <v>1482</v>
      </c>
      <c r="E98" s="1532"/>
      <c r="F98" s="1532"/>
      <c r="G98" s="1533"/>
      <c r="H98" s="1120">
        <f>-SUMIF('Sumaria renta 20x3'!G:G,'2516 20x3'!A98,'Sumaria renta 20x3'!C:C)</f>
        <v>0</v>
      </c>
      <c r="I98" s="1118"/>
      <c r="J98" s="842">
        <f t="shared" si="35"/>
        <v>0</v>
      </c>
      <c r="K98" s="842">
        <f t="shared" si="36"/>
        <v>0</v>
      </c>
      <c r="L98" s="842">
        <f>-SUMIF('Sumaria renta 20x3'!G:G,'2516 20x3'!A98,'Sumaria renta 20x3'!E:E)</f>
        <v>0</v>
      </c>
    </row>
    <row r="99" spans="1:12" ht="24.75" customHeight="1" outlineLevel="1" x14ac:dyDescent="0.2">
      <c r="A99" s="835">
        <v>95</v>
      </c>
      <c r="B99" s="840"/>
      <c r="C99" s="1145"/>
      <c r="D99" s="1531" t="s">
        <v>1483</v>
      </c>
      <c r="E99" s="1532"/>
      <c r="F99" s="1532"/>
      <c r="G99" s="1533"/>
      <c r="H99" s="1120">
        <f>+SUMIF('Sumaria renta 20x3'!G:G,'2516 20x3'!A99,'Sumaria renta 20x3'!C:C)</f>
        <v>0</v>
      </c>
      <c r="I99" s="1118"/>
      <c r="J99" s="842">
        <f t="shared" si="35"/>
        <v>0</v>
      </c>
      <c r="K99" s="842">
        <f t="shared" si="36"/>
        <v>0</v>
      </c>
      <c r="L99" s="842">
        <f>+SUMIF('Sumaria renta 20x3'!G:G,'2516 20x3'!A99,'Sumaria renta 20x3'!E:E)</f>
        <v>0</v>
      </c>
    </row>
    <row r="100" spans="1:12" ht="12.75" customHeight="1" outlineLevel="1" x14ac:dyDescent="0.2">
      <c r="A100" s="837"/>
      <c r="B100" s="838"/>
      <c r="C100" s="1146"/>
      <c r="D100" s="1508" t="s">
        <v>1484</v>
      </c>
      <c r="E100" s="1509"/>
      <c r="F100" s="1509"/>
      <c r="G100" s="1510"/>
      <c r="H100" s="890">
        <f>+SUM(H101:H106)</f>
        <v>0</v>
      </c>
      <c r="I100" s="890">
        <f t="shared" ref="I100:L100" si="37">+SUM(I101:I106)</f>
        <v>0</v>
      </c>
      <c r="J100" s="890">
        <f t="shared" si="37"/>
        <v>0</v>
      </c>
      <c r="K100" s="890">
        <f t="shared" si="37"/>
        <v>0</v>
      </c>
      <c r="L100" s="890">
        <f t="shared" si="37"/>
        <v>0</v>
      </c>
    </row>
    <row r="101" spans="1:12" outlineLevel="1" x14ac:dyDescent="0.2">
      <c r="A101" s="835">
        <v>97</v>
      </c>
      <c r="B101" s="840"/>
      <c r="C101" s="1514" t="s">
        <v>1484</v>
      </c>
      <c r="D101" s="1531" t="s">
        <v>1485</v>
      </c>
      <c r="E101" s="1532"/>
      <c r="F101" s="1532"/>
      <c r="G101" s="1533"/>
      <c r="H101" s="1120">
        <f>+SUMIF('Sumaria renta 20x3'!G:G,'2516 20x3'!A101,'Sumaria renta 20x3'!C:C)</f>
        <v>0</v>
      </c>
      <c r="I101" s="1118"/>
      <c r="J101" s="842">
        <f t="shared" ref="J101:J106" si="38">+IF((H101&gt;L101),(H101-L101),0)</f>
        <v>0</v>
      </c>
      <c r="K101" s="842">
        <f t="shared" ref="K101:K106" si="39">+IF((H101&lt;L101),(L101-H101),0)</f>
        <v>0</v>
      </c>
      <c r="L101" s="842">
        <f>+SUMIF('Sumaria renta 20x3'!G:G,'2516 20x3'!A101,'Sumaria renta 20x3'!E:E)</f>
        <v>0</v>
      </c>
    </row>
    <row r="102" spans="1:12" outlineLevel="1" x14ac:dyDescent="0.2">
      <c r="A102" s="835">
        <v>98</v>
      </c>
      <c r="B102" s="840"/>
      <c r="C102" s="1514"/>
      <c r="D102" s="1531" t="s">
        <v>1486</v>
      </c>
      <c r="E102" s="1532"/>
      <c r="F102" s="1532"/>
      <c r="G102" s="1533"/>
      <c r="H102" s="1120">
        <f>+SUMIF('Sumaria renta 20x3'!G:G,'2516 20x3'!A102,'Sumaria renta 20x3'!C:C)</f>
        <v>0</v>
      </c>
      <c r="I102" s="1118"/>
      <c r="J102" s="842">
        <f t="shared" si="38"/>
        <v>0</v>
      </c>
      <c r="K102" s="842">
        <f t="shared" si="39"/>
        <v>0</v>
      </c>
      <c r="L102" s="842">
        <f>+SUMIF('Sumaria renta 20x3'!G:G,'2516 20x3'!A102,'Sumaria renta 20x3'!E:E)</f>
        <v>0</v>
      </c>
    </row>
    <row r="103" spans="1:12" outlineLevel="1" x14ac:dyDescent="0.2">
      <c r="A103" s="835">
        <v>99</v>
      </c>
      <c r="B103" s="840"/>
      <c r="C103" s="1514"/>
      <c r="D103" s="1531" t="s">
        <v>1487</v>
      </c>
      <c r="E103" s="1532"/>
      <c r="F103" s="1532"/>
      <c r="G103" s="1533"/>
      <c r="H103" s="1120">
        <f>+SUMIF('Sumaria renta 20x3'!G:G,'2516 20x3'!A103,'Sumaria renta 20x3'!C:C)</f>
        <v>0</v>
      </c>
      <c r="I103" s="1118"/>
      <c r="J103" s="842">
        <f t="shared" si="38"/>
        <v>0</v>
      </c>
      <c r="K103" s="842">
        <f t="shared" si="39"/>
        <v>0</v>
      </c>
      <c r="L103" s="842">
        <f>+SUMIF('Sumaria renta 20x3'!G:G,'2516 20x3'!A103,'Sumaria renta 20x3'!E:E)</f>
        <v>0</v>
      </c>
    </row>
    <row r="104" spans="1:12" outlineLevel="1" x14ac:dyDescent="0.2">
      <c r="A104" s="835">
        <v>100</v>
      </c>
      <c r="B104" s="840"/>
      <c r="C104" s="1514"/>
      <c r="D104" s="1531" t="s">
        <v>1488</v>
      </c>
      <c r="E104" s="1532"/>
      <c r="F104" s="1532"/>
      <c r="G104" s="1533"/>
      <c r="H104" s="1120">
        <f>+SUMIF('Sumaria renta 20x3'!G:G,'2516 20x3'!A104,'Sumaria renta 20x3'!C:C)</f>
        <v>0</v>
      </c>
      <c r="I104" s="1118"/>
      <c r="J104" s="842">
        <f t="shared" si="38"/>
        <v>0</v>
      </c>
      <c r="K104" s="842">
        <f t="shared" si="39"/>
        <v>0</v>
      </c>
      <c r="L104" s="842">
        <f>+SUMIF('Sumaria renta 20x3'!G:G,'2516 20x3'!A104,'Sumaria renta 20x3'!E:E)</f>
        <v>0</v>
      </c>
    </row>
    <row r="105" spans="1:12" outlineLevel="1" x14ac:dyDescent="0.2">
      <c r="A105" s="835">
        <v>101</v>
      </c>
      <c r="B105" s="840"/>
      <c r="C105" s="1145"/>
      <c r="D105" s="1531" t="s">
        <v>1489</v>
      </c>
      <c r="E105" s="1532"/>
      <c r="F105" s="1532"/>
      <c r="G105" s="1533"/>
      <c r="H105" s="1120">
        <f>+SUMIF('Sumaria renta 20x3'!G:G,'2516 20x3'!A105,'Sumaria renta 20x3'!C:C)</f>
        <v>0</v>
      </c>
      <c r="I105" s="1118"/>
      <c r="J105" s="842">
        <f t="shared" si="38"/>
        <v>0</v>
      </c>
      <c r="K105" s="842">
        <f t="shared" si="39"/>
        <v>0</v>
      </c>
      <c r="L105" s="842">
        <f>+SUMIF('Sumaria renta 20x3'!G:G,'2516 20x3'!A105,'Sumaria renta 20x3'!E:E)</f>
        <v>0</v>
      </c>
    </row>
    <row r="106" spans="1:12" outlineLevel="1" x14ac:dyDescent="0.2">
      <c r="A106" s="835">
        <v>102</v>
      </c>
      <c r="B106" s="840"/>
      <c r="C106" s="1145"/>
      <c r="D106" s="1531" t="s">
        <v>1490</v>
      </c>
      <c r="E106" s="1532"/>
      <c r="F106" s="1532"/>
      <c r="G106" s="1533"/>
      <c r="H106" s="1120">
        <f>+SUMIF('Sumaria renta 20x3'!G:G,'2516 20x3'!A106,'Sumaria renta 20x3'!C:C)</f>
        <v>0</v>
      </c>
      <c r="I106" s="1118"/>
      <c r="J106" s="842">
        <f t="shared" si="38"/>
        <v>0</v>
      </c>
      <c r="K106" s="842">
        <f t="shared" si="39"/>
        <v>0</v>
      </c>
      <c r="L106" s="842">
        <f>+SUMIF('Sumaria renta 20x3'!G:G,'2516 20x3'!A106,'Sumaria renta 20x3'!E:E)</f>
        <v>0</v>
      </c>
    </row>
    <row r="107" spans="1:12" outlineLevel="1" x14ac:dyDescent="0.2">
      <c r="A107" s="837"/>
      <c r="B107" s="838"/>
      <c r="C107" s="1145"/>
      <c r="D107" s="1508" t="s">
        <v>59</v>
      </c>
      <c r="E107" s="1509"/>
      <c r="F107" s="1509"/>
      <c r="G107" s="1510"/>
      <c r="H107" s="1116">
        <f>+SUM(H108:H109)-H110-H111</f>
        <v>0</v>
      </c>
      <c r="I107" s="1116">
        <f t="shared" ref="I107:L107" si="40">+SUM(I108:I109)-I110-I111</f>
        <v>0</v>
      </c>
      <c r="J107" s="1116">
        <f t="shared" si="40"/>
        <v>0</v>
      </c>
      <c r="K107" s="1116">
        <f t="shared" si="40"/>
        <v>0</v>
      </c>
      <c r="L107" s="1116">
        <f t="shared" si="40"/>
        <v>0</v>
      </c>
    </row>
    <row r="108" spans="1:12" outlineLevel="1" x14ac:dyDescent="0.2">
      <c r="A108" s="835">
        <v>104</v>
      </c>
      <c r="B108" s="840"/>
      <c r="C108" s="1514" t="s">
        <v>1491</v>
      </c>
      <c r="D108" s="1531" t="s">
        <v>1421</v>
      </c>
      <c r="E108" s="1532"/>
      <c r="F108" s="1532"/>
      <c r="G108" s="1533"/>
      <c r="H108" s="1120">
        <f>+SUMIF('Sumaria renta 20x3'!G:G,'2516 20x3'!A108,'Sumaria renta 20x3'!C:C)</f>
        <v>0</v>
      </c>
      <c r="I108" s="1118"/>
      <c r="J108" s="842">
        <f t="shared" ref="J108:J111" si="41">+IF((H108&gt;L108),(H108-L108),0)</f>
        <v>0</v>
      </c>
      <c r="K108" s="842">
        <f t="shared" ref="K108:K111" si="42">+IF((H108&lt;L108),(L108-H108),0)</f>
        <v>0</v>
      </c>
      <c r="L108" s="842">
        <f>+SUMIF('Sumaria renta 20x3'!G:G,'2516 20x3'!A108,'Sumaria renta 20x3'!E:E)</f>
        <v>0</v>
      </c>
    </row>
    <row r="109" spans="1:12" outlineLevel="1" x14ac:dyDescent="0.2">
      <c r="A109" s="835">
        <v>105</v>
      </c>
      <c r="B109" s="840"/>
      <c r="C109" s="1514"/>
      <c r="D109" s="1531" t="s">
        <v>1492</v>
      </c>
      <c r="E109" s="1532"/>
      <c r="F109" s="1532"/>
      <c r="G109" s="1533"/>
      <c r="H109" s="1120">
        <f>+SUMIF('Sumaria renta 20x3'!G:G,'2516 20x3'!A109,'Sumaria renta 20x3'!C:C)</f>
        <v>0</v>
      </c>
      <c r="I109" s="1118"/>
      <c r="J109" s="842">
        <f t="shared" si="41"/>
        <v>0</v>
      </c>
      <c r="K109" s="842">
        <f t="shared" si="42"/>
        <v>0</v>
      </c>
      <c r="L109" s="842">
        <f>+SUMIF('Sumaria renta 20x3'!G:G,'2516 20x3'!A109,'Sumaria renta 20x3'!E:E)</f>
        <v>0</v>
      </c>
    </row>
    <row r="110" spans="1:12" outlineLevel="1" x14ac:dyDescent="0.2">
      <c r="A110" s="835">
        <v>106</v>
      </c>
      <c r="B110" s="840"/>
      <c r="C110" s="1145"/>
      <c r="D110" s="1531" t="s">
        <v>1493</v>
      </c>
      <c r="E110" s="1532"/>
      <c r="F110" s="1532"/>
      <c r="G110" s="1533"/>
      <c r="H110" s="1120">
        <f>+SUMIF('Sumaria renta 20x3'!G:G,'2516 20x3'!A110,'Sumaria renta 20x3'!C:C)</f>
        <v>0</v>
      </c>
      <c r="I110" s="1118"/>
      <c r="J110" s="842">
        <f t="shared" si="41"/>
        <v>0</v>
      </c>
      <c r="K110" s="842">
        <f t="shared" si="42"/>
        <v>0</v>
      </c>
      <c r="L110" s="842">
        <f>+SUMIF('Sumaria renta 20x3'!G:G,'2516 20x3'!A110,'Sumaria renta 20x3'!E:E)</f>
        <v>0</v>
      </c>
    </row>
    <row r="111" spans="1:12" outlineLevel="1" x14ac:dyDescent="0.2">
      <c r="A111" s="835">
        <v>107</v>
      </c>
      <c r="B111" s="840"/>
      <c r="C111" s="1145"/>
      <c r="D111" s="1531" t="s">
        <v>1494</v>
      </c>
      <c r="E111" s="1532"/>
      <c r="F111" s="1532"/>
      <c r="G111" s="1533"/>
      <c r="H111" s="1120">
        <f>+SUMIF('Sumaria renta 20x3'!G:G,'2516 20x3'!A111,'Sumaria renta 20x3'!C:C)</f>
        <v>0</v>
      </c>
      <c r="I111" s="1118"/>
      <c r="J111" s="842">
        <f t="shared" si="41"/>
        <v>0</v>
      </c>
      <c r="K111" s="842">
        <f t="shared" si="42"/>
        <v>0</v>
      </c>
      <c r="L111" s="842">
        <f>+SUMIF('Sumaria renta 20x3'!G:G,'2516 20x3'!A111,'Sumaria renta 20x3'!E:E)</f>
        <v>0</v>
      </c>
    </row>
    <row r="112" spans="1:12" outlineLevel="1" x14ac:dyDescent="0.2">
      <c r="A112" s="837"/>
      <c r="B112" s="838"/>
      <c r="C112" s="1145"/>
      <c r="D112" s="1508" t="s">
        <v>1495</v>
      </c>
      <c r="E112" s="1509"/>
      <c r="F112" s="1509"/>
      <c r="G112" s="1510"/>
      <c r="H112" s="1116">
        <f>+H113-H114+H115-H116</f>
        <v>0</v>
      </c>
      <c r="I112" s="1116">
        <f t="shared" ref="I112:L112" si="43">+I113-I114+I115-I116</f>
        <v>0</v>
      </c>
      <c r="J112" s="1116">
        <f t="shared" si="43"/>
        <v>0</v>
      </c>
      <c r="K112" s="1116">
        <f t="shared" si="43"/>
        <v>0</v>
      </c>
      <c r="L112" s="1116">
        <f t="shared" si="43"/>
        <v>0</v>
      </c>
    </row>
    <row r="113" spans="1:13" outlineLevel="1" x14ac:dyDescent="0.2">
      <c r="A113" s="835">
        <v>109</v>
      </c>
      <c r="B113" s="840"/>
      <c r="C113" s="1145"/>
      <c r="D113" s="1531" t="s">
        <v>1496</v>
      </c>
      <c r="E113" s="1532"/>
      <c r="F113" s="1532"/>
      <c r="G113" s="1533"/>
      <c r="H113" s="1120">
        <f>+SUMIF('Sumaria renta 20x3'!G:G,'2516 20x3'!A113,'Sumaria renta 20x3'!C:C)</f>
        <v>0</v>
      </c>
      <c r="I113" s="1118"/>
      <c r="J113" s="842">
        <f t="shared" ref="J113:J116" si="44">+IF((H113&gt;L113),(H113-L113),0)</f>
        <v>0</v>
      </c>
      <c r="K113" s="842">
        <f t="shared" ref="K113:K116" si="45">+IF((H113&lt;L113),(L113-H113),0)</f>
        <v>0</v>
      </c>
      <c r="L113" s="842">
        <f>+SUMIF('Sumaria renta 20x3'!G:G,'2516 20x3'!A113,'Sumaria renta 20x3'!E:E)</f>
        <v>0</v>
      </c>
    </row>
    <row r="114" spans="1:13" ht="25.5" customHeight="1" outlineLevel="1" x14ac:dyDescent="0.2">
      <c r="A114" s="835">
        <v>110</v>
      </c>
      <c r="B114" s="840"/>
      <c r="C114" s="1145"/>
      <c r="D114" s="1531" t="s">
        <v>1497</v>
      </c>
      <c r="E114" s="1532"/>
      <c r="F114" s="1532"/>
      <c r="G114" s="1533"/>
      <c r="H114" s="1120">
        <f>+SUMIF('Sumaria renta 20x3'!G:G,'2516 20x3'!A114,'Sumaria renta 20x3'!C:C)</f>
        <v>0</v>
      </c>
      <c r="I114" s="1118"/>
      <c r="J114" s="842">
        <f t="shared" si="44"/>
        <v>0</v>
      </c>
      <c r="K114" s="842">
        <f t="shared" si="45"/>
        <v>0</v>
      </c>
      <c r="L114" s="842">
        <f>+SUMIF('Sumaria renta 20x3'!G:G,'2516 20x3'!A114,'Sumaria renta 20x3'!E:E)</f>
        <v>0</v>
      </c>
    </row>
    <row r="115" spans="1:13" outlineLevel="1" x14ac:dyDescent="0.2">
      <c r="A115" s="835">
        <v>111</v>
      </c>
      <c r="B115" s="840"/>
      <c r="C115" s="1145"/>
      <c r="D115" s="1531" t="s">
        <v>1498</v>
      </c>
      <c r="E115" s="1532"/>
      <c r="F115" s="1532"/>
      <c r="G115" s="1533"/>
      <c r="H115" s="1120">
        <f>+SUMIF('Sumaria renta 20x3'!G:G,'2516 20x3'!A115,'Sumaria renta 20x3'!C:C)</f>
        <v>0</v>
      </c>
      <c r="I115" s="1118"/>
      <c r="J115" s="842">
        <f t="shared" si="44"/>
        <v>0</v>
      </c>
      <c r="K115" s="842">
        <f t="shared" si="45"/>
        <v>0</v>
      </c>
      <c r="L115" s="842">
        <f>+SUMIF('Sumaria renta 20x3'!G:G,'2516 20x3'!A115,'Sumaria renta 20x3'!E:E)</f>
        <v>0</v>
      </c>
    </row>
    <row r="116" spans="1:13" ht="27" customHeight="1" outlineLevel="1" x14ac:dyDescent="0.2">
      <c r="A116" s="835">
        <v>112</v>
      </c>
      <c r="B116" s="840"/>
      <c r="C116" s="1145"/>
      <c r="D116" s="1531" t="s">
        <v>1499</v>
      </c>
      <c r="E116" s="1532"/>
      <c r="F116" s="1532"/>
      <c r="G116" s="1533"/>
      <c r="H116" s="1120">
        <f>+SUMIF('Sumaria renta 20x3'!G:G,'2516 20x3'!A116,'Sumaria renta 20x3'!C:C)</f>
        <v>0</v>
      </c>
      <c r="I116" s="1118"/>
      <c r="J116" s="842">
        <f t="shared" si="44"/>
        <v>0</v>
      </c>
      <c r="K116" s="842">
        <f t="shared" si="45"/>
        <v>0</v>
      </c>
      <c r="L116" s="842">
        <f>+SUMIF('Sumaria renta 20x3'!G:G,'2516 20x3'!A116,'Sumaria renta 20x3'!E:E)</f>
        <v>0</v>
      </c>
    </row>
    <row r="117" spans="1:13" outlineLevel="1" x14ac:dyDescent="0.2">
      <c r="A117" s="837"/>
      <c r="B117" s="838"/>
      <c r="C117" s="1145"/>
      <c r="D117" s="1508" t="s">
        <v>72</v>
      </c>
      <c r="E117" s="1509"/>
      <c r="F117" s="1509"/>
      <c r="G117" s="1510"/>
      <c r="H117" s="1116">
        <f>+H118+H126</f>
        <v>0</v>
      </c>
      <c r="I117" s="1116">
        <f t="shared" ref="I117:L117" si="46">+I118+I126</f>
        <v>0</v>
      </c>
      <c r="J117" s="1116">
        <f t="shared" si="46"/>
        <v>0</v>
      </c>
      <c r="K117" s="1116">
        <f t="shared" si="46"/>
        <v>0</v>
      </c>
      <c r="L117" s="1116">
        <f t="shared" si="46"/>
        <v>0</v>
      </c>
      <c r="M117" s="1161">
        <f>+L117-'110 Renta 20x3'!Q29</f>
        <v>0</v>
      </c>
    </row>
    <row r="118" spans="1:13" outlineLevel="1" x14ac:dyDescent="0.2">
      <c r="A118" s="837"/>
      <c r="B118" s="838"/>
      <c r="C118" s="1145"/>
      <c r="D118" s="1508" t="s">
        <v>1500</v>
      </c>
      <c r="E118" s="1509"/>
      <c r="F118" s="1509"/>
      <c r="G118" s="1510"/>
      <c r="H118" s="1116">
        <f>+H119-H120-H121+H122+H123-H124+H125</f>
        <v>0</v>
      </c>
      <c r="I118" s="1116">
        <f t="shared" ref="I118:L118" si="47">+I119-I120-I121+I122+I123-I124+I125</f>
        <v>0</v>
      </c>
      <c r="J118" s="1116">
        <f t="shared" si="47"/>
        <v>0</v>
      </c>
      <c r="K118" s="1116">
        <f t="shared" si="47"/>
        <v>0</v>
      </c>
      <c r="L118" s="1116">
        <f t="shared" si="47"/>
        <v>0</v>
      </c>
    </row>
    <row r="119" spans="1:13" outlineLevel="1" x14ac:dyDescent="0.2">
      <c r="A119" s="835">
        <v>115</v>
      </c>
      <c r="B119" s="840"/>
      <c r="C119" s="1145"/>
      <c r="D119" s="1531" t="s">
        <v>1501</v>
      </c>
      <c r="E119" s="1532"/>
      <c r="F119" s="1532"/>
      <c r="G119" s="1533"/>
      <c r="H119" s="1120">
        <f>+SUMIF('Sumaria renta 20x3'!G:G,'2516 20x3'!A119,'Sumaria renta 20x3'!C:C)</f>
        <v>0</v>
      </c>
      <c r="I119" s="1118"/>
      <c r="J119" s="842">
        <f t="shared" ref="J119:J125" si="48">+IF((H119&gt;L119),(H119-L119),0)</f>
        <v>0</v>
      </c>
      <c r="K119" s="842">
        <f t="shared" ref="K119:K125" si="49">+IF((H119&lt;L119),(L119-H119),0)</f>
        <v>0</v>
      </c>
      <c r="L119" s="842">
        <f>+SUMIF('Sumaria renta 20x3'!G:G,'2516 20x3'!A119,'Sumaria renta 20x3'!E:E)</f>
        <v>0</v>
      </c>
    </row>
    <row r="120" spans="1:13" outlineLevel="1" x14ac:dyDescent="0.2">
      <c r="A120" s="835">
        <v>116</v>
      </c>
      <c r="B120" s="840"/>
      <c r="C120" s="1145"/>
      <c r="D120" s="1531" t="s">
        <v>1502</v>
      </c>
      <c r="E120" s="1532"/>
      <c r="F120" s="1532"/>
      <c r="G120" s="1533"/>
      <c r="H120" s="1120">
        <f>+SUMIF('Sumaria renta 20x3'!G:G,'2516 20x3'!A120,'Sumaria renta 20x3'!C:C)</f>
        <v>0</v>
      </c>
      <c r="I120" s="1118"/>
      <c r="J120" s="842">
        <f t="shared" si="48"/>
        <v>0</v>
      </c>
      <c r="K120" s="842">
        <f t="shared" si="49"/>
        <v>0</v>
      </c>
      <c r="L120" s="842">
        <f>+SUMIF('Sumaria renta 20x3'!G:G,'2516 20x3'!A120,'Sumaria renta 20x3'!E:E)</f>
        <v>0</v>
      </c>
    </row>
    <row r="121" spans="1:13" outlineLevel="1" x14ac:dyDescent="0.2">
      <c r="A121" s="835">
        <v>117</v>
      </c>
      <c r="B121" s="840"/>
      <c r="C121" s="1145"/>
      <c r="D121" s="1531" t="s">
        <v>1503</v>
      </c>
      <c r="E121" s="1532"/>
      <c r="F121" s="1532"/>
      <c r="G121" s="1533"/>
      <c r="H121" s="1120">
        <f>+SUMIF('Sumaria renta 20x3'!G:G,'2516 20x3'!A121,'Sumaria renta 20x3'!C:C)</f>
        <v>0</v>
      </c>
      <c r="I121" s="1118"/>
      <c r="J121" s="842">
        <f t="shared" si="48"/>
        <v>0</v>
      </c>
      <c r="K121" s="842">
        <f t="shared" si="49"/>
        <v>0</v>
      </c>
      <c r="L121" s="842">
        <f>+SUMIF('Sumaria renta 20x3'!G:G,'2516 20x3'!A121,'Sumaria renta 20x3'!E:E)</f>
        <v>0</v>
      </c>
    </row>
    <row r="122" spans="1:13" outlineLevel="1" x14ac:dyDescent="0.2">
      <c r="A122" s="835">
        <v>118</v>
      </c>
      <c r="B122" s="840"/>
      <c r="C122" s="1145"/>
      <c r="D122" s="1531" t="s">
        <v>1504</v>
      </c>
      <c r="E122" s="1532"/>
      <c r="F122" s="1532"/>
      <c r="G122" s="1533"/>
      <c r="H122" s="1120">
        <f>+SUMIF('Sumaria renta 20x3'!G:G,'2516 20x3'!A122,'Sumaria renta 20x3'!C:C)</f>
        <v>0</v>
      </c>
      <c r="I122" s="1118"/>
      <c r="J122" s="842">
        <f t="shared" si="48"/>
        <v>0</v>
      </c>
      <c r="K122" s="842">
        <f t="shared" si="49"/>
        <v>0</v>
      </c>
      <c r="L122" s="842">
        <f>+SUMIF('Sumaria renta 20x3'!G:G,'2516 20x3'!A122,'Sumaria renta 20x3'!E:E)</f>
        <v>0</v>
      </c>
    </row>
    <row r="123" spans="1:13" outlineLevel="1" x14ac:dyDescent="0.2">
      <c r="A123" s="835">
        <v>119</v>
      </c>
      <c r="B123" s="840"/>
      <c r="C123" s="1145"/>
      <c r="D123" s="1531" t="s">
        <v>1505</v>
      </c>
      <c r="E123" s="1532"/>
      <c r="F123" s="1532"/>
      <c r="G123" s="1533"/>
      <c r="H123" s="1120">
        <f>+SUMIF('Sumaria renta 20x3'!G:G,'2516 20x3'!A123,'Sumaria renta 20x3'!C:C)</f>
        <v>0</v>
      </c>
      <c r="I123" s="1118"/>
      <c r="J123" s="842">
        <f t="shared" si="48"/>
        <v>0</v>
      </c>
      <c r="K123" s="842">
        <f t="shared" si="49"/>
        <v>0</v>
      </c>
      <c r="L123" s="842">
        <f>+SUMIF('Sumaria renta 20x3'!G:G,'2516 20x3'!A123,'Sumaria renta 20x3'!E:E)</f>
        <v>0</v>
      </c>
    </row>
    <row r="124" spans="1:13" ht="24" customHeight="1" outlineLevel="1" x14ac:dyDescent="0.2">
      <c r="A124" s="835">
        <v>120</v>
      </c>
      <c r="B124" s="840"/>
      <c r="C124" s="1145"/>
      <c r="D124" s="1531" t="s">
        <v>1506</v>
      </c>
      <c r="E124" s="1532"/>
      <c r="F124" s="1532"/>
      <c r="G124" s="1533"/>
      <c r="H124" s="1120">
        <f>+SUMIF('Sumaria renta 20x3'!G:G,'2516 20x3'!A124,'Sumaria renta 20x3'!C:C)</f>
        <v>0</v>
      </c>
      <c r="I124" s="1118"/>
      <c r="J124" s="842">
        <f t="shared" si="48"/>
        <v>0</v>
      </c>
      <c r="K124" s="842">
        <f t="shared" si="49"/>
        <v>0</v>
      </c>
      <c r="L124" s="842">
        <f>+SUMIF('Sumaria renta 20x3'!G:G,'2516 20x3'!A124,'Sumaria renta 20x3'!E:E)</f>
        <v>0</v>
      </c>
    </row>
    <row r="125" spans="1:13" outlineLevel="1" x14ac:dyDescent="0.2">
      <c r="A125" s="835">
        <v>121</v>
      </c>
      <c r="B125" s="840"/>
      <c r="C125" s="1145"/>
      <c r="D125" s="1531" t="s">
        <v>1507</v>
      </c>
      <c r="E125" s="1532"/>
      <c r="F125" s="1532"/>
      <c r="G125" s="1533"/>
      <c r="H125" s="1120">
        <f>+SUMIF('Sumaria renta 20x3'!G:G,'2516 20x3'!A125,'Sumaria renta 20x3'!C:C)</f>
        <v>0</v>
      </c>
      <c r="I125" s="1118"/>
      <c r="J125" s="842">
        <f t="shared" si="48"/>
        <v>0</v>
      </c>
      <c r="K125" s="842">
        <f t="shared" si="49"/>
        <v>0</v>
      </c>
      <c r="L125" s="842">
        <f>+SUMIF('Sumaria renta 20x3'!G:G,'2516 20x3'!A125,'Sumaria renta 20x3'!E:E)</f>
        <v>0</v>
      </c>
    </row>
    <row r="126" spans="1:13" outlineLevel="1" x14ac:dyDescent="0.2">
      <c r="A126" s="837"/>
      <c r="B126" s="838"/>
      <c r="C126" s="1145"/>
      <c r="D126" s="1508" t="s">
        <v>1508</v>
      </c>
      <c r="E126" s="1509"/>
      <c r="F126" s="1509"/>
      <c r="G126" s="1510"/>
      <c r="H126" s="1116">
        <f>+H127-H128-H129+H130+H131-H132+H133</f>
        <v>0</v>
      </c>
      <c r="I126" s="1116">
        <f t="shared" ref="I126:L126" si="50">+I127-I128-I129+I130+I131-I132+I133</f>
        <v>0</v>
      </c>
      <c r="J126" s="1116">
        <f t="shared" si="50"/>
        <v>0</v>
      </c>
      <c r="K126" s="1116">
        <f t="shared" si="50"/>
        <v>0</v>
      </c>
      <c r="L126" s="1116">
        <f t="shared" si="50"/>
        <v>0</v>
      </c>
    </row>
    <row r="127" spans="1:13" outlineLevel="1" x14ac:dyDescent="0.2">
      <c r="A127" s="835">
        <v>123</v>
      </c>
      <c r="B127" s="840"/>
      <c r="C127" s="1145"/>
      <c r="D127" s="1531" t="s">
        <v>1509</v>
      </c>
      <c r="E127" s="1532"/>
      <c r="F127" s="1532"/>
      <c r="G127" s="1533"/>
      <c r="H127" s="1120">
        <f>+SUMIF('Sumaria renta 20x3'!G:G,'2516 20x3'!A127,'Sumaria renta 20x3'!C:C)</f>
        <v>0</v>
      </c>
      <c r="I127" s="1118"/>
      <c r="J127" s="842">
        <f t="shared" ref="J127:J133" si="51">+IF((H127&gt;L127),(H127-L127),0)</f>
        <v>0</v>
      </c>
      <c r="K127" s="842">
        <f t="shared" ref="K127:K133" si="52">+IF((H127&lt;L127),(L127-H127),0)</f>
        <v>0</v>
      </c>
      <c r="L127" s="842">
        <f>+SUMIF('Sumaria renta 20x3'!G:G,'2516 20x3'!A127,'Sumaria renta 20x3'!E:E)</f>
        <v>0</v>
      </c>
    </row>
    <row r="128" spans="1:13" outlineLevel="1" x14ac:dyDescent="0.2">
      <c r="A128" s="835">
        <v>124</v>
      </c>
      <c r="B128" s="840"/>
      <c r="C128" s="1145"/>
      <c r="D128" s="1531" t="s">
        <v>1510</v>
      </c>
      <c r="E128" s="1532"/>
      <c r="F128" s="1532"/>
      <c r="G128" s="1533"/>
      <c r="H128" s="1120">
        <f>+SUMIF('Sumaria renta 20x3'!G:G,'2516 20x3'!A128,'Sumaria renta 20x3'!C:C)</f>
        <v>0</v>
      </c>
      <c r="I128" s="1118"/>
      <c r="J128" s="842">
        <f t="shared" si="51"/>
        <v>0</v>
      </c>
      <c r="K128" s="842">
        <f t="shared" si="52"/>
        <v>0</v>
      </c>
      <c r="L128" s="842">
        <f>+SUMIF('Sumaria renta 20x3'!G:G,'2516 20x3'!A128,'Sumaria renta 20x3'!E:E)</f>
        <v>0</v>
      </c>
    </row>
    <row r="129" spans="1:13" outlineLevel="1" x14ac:dyDescent="0.2">
      <c r="A129" s="835">
        <v>125</v>
      </c>
      <c r="B129" s="840"/>
      <c r="C129" s="1145"/>
      <c r="D129" s="1531" t="s">
        <v>1511</v>
      </c>
      <c r="E129" s="1532"/>
      <c r="F129" s="1532"/>
      <c r="G129" s="1533"/>
      <c r="H129" s="1120">
        <f>+SUMIF('Sumaria renta 20x3'!G:G,'2516 20x3'!A129,'Sumaria renta 20x3'!C:C)</f>
        <v>0</v>
      </c>
      <c r="I129" s="1118"/>
      <c r="J129" s="842">
        <f t="shared" si="51"/>
        <v>0</v>
      </c>
      <c r="K129" s="842">
        <f t="shared" si="52"/>
        <v>0</v>
      </c>
      <c r="L129" s="842">
        <f>+SUMIF('Sumaria renta 20x3'!G:G,'2516 20x3'!A129,'Sumaria renta 20x3'!E:E)</f>
        <v>0</v>
      </c>
    </row>
    <row r="130" spans="1:13" outlineLevel="1" x14ac:dyDescent="0.2">
      <c r="A130" s="835">
        <v>126</v>
      </c>
      <c r="B130" s="840"/>
      <c r="C130" s="1145"/>
      <c r="D130" s="1531" t="s">
        <v>1512</v>
      </c>
      <c r="E130" s="1532"/>
      <c r="F130" s="1532"/>
      <c r="G130" s="1533"/>
      <c r="H130" s="1120">
        <f>+SUMIF('Sumaria renta 20x3'!G:G,'2516 20x3'!A130,'Sumaria renta 20x3'!C:C)</f>
        <v>0</v>
      </c>
      <c r="I130" s="1118"/>
      <c r="J130" s="842">
        <f t="shared" si="51"/>
        <v>0</v>
      </c>
      <c r="K130" s="842">
        <f t="shared" si="52"/>
        <v>0</v>
      </c>
      <c r="L130" s="842">
        <f>+SUMIF('Sumaria renta 20x3'!G:G,'2516 20x3'!A130,'Sumaria renta 20x3'!E:E)</f>
        <v>0</v>
      </c>
    </row>
    <row r="131" spans="1:13" outlineLevel="1" x14ac:dyDescent="0.2">
      <c r="A131" s="835">
        <v>127</v>
      </c>
      <c r="B131" s="840"/>
      <c r="C131" s="1145"/>
      <c r="D131" s="1531" t="s">
        <v>1513</v>
      </c>
      <c r="E131" s="1532"/>
      <c r="F131" s="1532"/>
      <c r="G131" s="1533"/>
      <c r="H131" s="1120">
        <f>+SUMIF('Sumaria renta 20x3'!G:G,'2516 20x3'!A131,'Sumaria renta 20x3'!C:C)</f>
        <v>0</v>
      </c>
      <c r="I131" s="1118"/>
      <c r="J131" s="842">
        <f t="shared" si="51"/>
        <v>0</v>
      </c>
      <c r="K131" s="842">
        <f t="shared" si="52"/>
        <v>0</v>
      </c>
      <c r="L131" s="842">
        <f>+SUMIF('Sumaria renta 20x3'!G:G,'2516 20x3'!A131,'Sumaria renta 20x3'!E:E)</f>
        <v>0</v>
      </c>
    </row>
    <row r="132" spans="1:13" ht="24" customHeight="1" outlineLevel="1" x14ac:dyDescent="0.2">
      <c r="A132" s="835">
        <v>128</v>
      </c>
      <c r="B132" s="840"/>
      <c r="C132" s="1145"/>
      <c r="D132" s="1531" t="s">
        <v>1514</v>
      </c>
      <c r="E132" s="1532"/>
      <c r="F132" s="1532"/>
      <c r="G132" s="1533"/>
      <c r="H132" s="1120">
        <f>+SUMIF('Sumaria renta 20x3'!G:G,'2516 20x3'!A132,'Sumaria renta 20x3'!C:C)</f>
        <v>0</v>
      </c>
      <c r="I132" s="1118"/>
      <c r="J132" s="842">
        <f t="shared" si="51"/>
        <v>0</v>
      </c>
      <c r="K132" s="842">
        <f t="shared" si="52"/>
        <v>0</v>
      </c>
      <c r="L132" s="842">
        <f>+SUMIF('Sumaria renta 20x3'!G:G,'2516 20x3'!A132,'Sumaria renta 20x3'!E:E)</f>
        <v>0</v>
      </c>
    </row>
    <row r="133" spans="1:13" outlineLevel="1" x14ac:dyDescent="0.2">
      <c r="A133" s="835">
        <v>129</v>
      </c>
      <c r="B133" s="840"/>
      <c r="C133" s="1145"/>
      <c r="D133" s="1531" t="s">
        <v>1515</v>
      </c>
      <c r="E133" s="1532"/>
      <c r="F133" s="1532"/>
      <c r="G133" s="1533"/>
      <c r="H133" s="1120">
        <f>+SUMIF('Sumaria renta 20x3'!G:G,'2516 20x3'!A133,'Sumaria renta 20x3'!C:C)</f>
        <v>0</v>
      </c>
      <c r="I133" s="1118"/>
      <c r="J133" s="842">
        <f t="shared" si="51"/>
        <v>0</v>
      </c>
      <c r="K133" s="842">
        <f t="shared" si="52"/>
        <v>0</v>
      </c>
      <c r="L133" s="842">
        <f>+SUMIF('Sumaria renta 20x3'!G:G,'2516 20x3'!A133,'Sumaria renta 20x3'!E:E)</f>
        <v>0</v>
      </c>
    </row>
    <row r="134" spans="1:13" outlineLevel="1" x14ac:dyDescent="0.2">
      <c r="A134" s="837"/>
      <c r="B134" s="838"/>
      <c r="C134" s="1145"/>
      <c r="D134" s="1508" t="s">
        <v>1160</v>
      </c>
      <c r="E134" s="1509"/>
      <c r="F134" s="1509"/>
      <c r="G134" s="1510"/>
      <c r="H134" s="1116">
        <f>+H135+H136+H137</f>
        <v>0</v>
      </c>
      <c r="I134" s="1116">
        <f t="shared" ref="I134:L134" si="53">+I135+I136+I137</f>
        <v>0</v>
      </c>
      <c r="J134" s="1116">
        <f t="shared" si="53"/>
        <v>0</v>
      </c>
      <c r="K134" s="1116">
        <f t="shared" si="53"/>
        <v>0</v>
      </c>
      <c r="L134" s="1116">
        <f t="shared" si="53"/>
        <v>0</v>
      </c>
    </row>
    <row r="135" spans="1:13" outlineLevel="1" x14ac:dyDescent="0.2">
      <c r="A135" s="835">
        <v>131</v>
      </c>
      <c r="B135" s="840"/>
      <c r="C135" s="1145"/>
      <c r="D135" s="1531" t="s">
        <v>1516</v>
      </c>
      <c r="E135" s="1532"/>
      <c r="F135" s="1532"/>
      <c r="G135" s="1533"/>
      <c r="H135" s="1120">
        <f>+SUMIF('Sumaria renta 20x3'!G:G,'2516 20x3'!A135,'Sumaria renta 20x3'!C:C)</f>
        <v>0</v>
      </c>
      <c r="I135" s="1118"/>
      <c r="J135" s="842">
        <f t="shared" ref="J135:J136" si="54">+IF((H135&gt;L135),(H135-L135),0)</f>
        <v>0</v>
      </c>
      <c r="K135" s="842">
        <f t="shared" ref="K135:K136" si="55">+IF((H135&lt;L135),(L135-H135),0)</f>
        <v>0</v>
      </c>
      <c r="L135" s="842">
        <f>+SUMIF('Sumaria renta 20x3'!G:G,'2516 20x3'!A135,'Sumaria renta 20x3'!E:E)</f>
        <v>0</v>
      </c>
    </row>
    <row r="136" spans="1:13" outlineLevel="1" x14ac:dyDescent="0.2">
      <c r="A136" s="835">
        <v>132</v>
      </c>
      <c r="B136" s="840"/>
      <c r="C136" s="1145"/>
      <c r="D136" s="1531" t="s">
        <v>1160</v>
      </c>
      <c r="E136" s="1532"/>
      <c r="F136" s="1532"/>
      <c r="G136" s="1533"/>
      <c r="H136" s="1120">
        <f>+SUMIF('Sumaria renta 20x3'!G:G,'2516 20x3'!A136,'Sumaria renta 20x3'!C:C)</f>
        <v>0</v>
      </c>
      <c r="I136" s="1118"/>
      <c r="J136" s="842">
        <f t="shared" si="54"/>
        <v>0</v>
      </c>
      <c r="K136" s="842">
        <f t="shared" si="55"/>
        <v>0</v>
      </c>
      <c r="L136" s="842">
        <f>+SUMIF('Sumaria renta 20x3'!G:G,'2516 20x3'!A136,'Sumaria renta 20x3'!E:E)</f>
        <v>0</v>
      </c>
    </row>
    <row r="137" spans="1:13" outlineLevel="1" x14ac:dyDescent="0.2">
      <c r="A137" s="835">
        <v>133</v>
      </c>
      <c r="B137" s="840"/>
      <c r="C137" s="1145"/>
      <c r="D137" s="1531" t="s">
        <v>1517</v>
      </c>
      <c r="E137" s="1532"/>
      <c r="F137" s="1532"/>
      <c r="G137" s="1533"/>
      <c r="H137" s="846"/>
      <c r="I137" s="846"/>
      <c r="J137" s="842">
        <f t="shared" ref="J137" si="56">+IF((H137&gt;L137),(H137-L137),0)</f>
        <v>0</v>
      </c>
      <c r="K137" s="842">
        <f t="shared" ref="K137" si="57">+IF((H137&lt;L137),(L137-H137),0)</f>
        <v>0</v>
      </c>
      <c r="L137" s="842">
        <f>+SUMIF('Sumaria renta 20x3'!G:G,'2516 20x3'!A137,'Sumaria renta 20x3'!E:E)</f>
        <v>0</v>
      </c>
    </row>
    <row r="138" spans="1:13" outlineLevel="1" x14ac:dyDescent="0.2">
      <c r="A138" s="837"/>
      <c r="B138" s="838"/>
      <c r="C138" s="1145"/>
      <c r="D138" s="1508" t="s">
        <v>1518</v>
      </c>
      <c r="E138" s="1509"/>
      <c r="F138" s="1509"/>
      <c r="G138" s="1510"/>
      <c r="H138" s="1124">
        <f>+H134+H117+H112+H107+H88+H78+H72+H67+H55+H32+H9+H5</f>
        <v>0</v>
      </c>
      <c r="I138" s="1124">
        <f t="shared" ref="I138:L138" si="58">+I134+I117+I112+I107+I88+I78+I72+I67+I55+I32+I9+I5</f>
        <v>0</v>
      </c>
      <c r="J138" s="1124">
        <f>+J134+J117+J112+J107+J88+J78+J72+J67+J55+J32+J9+J5</f>
        <v>0</v>
      </c>
      <c r="K138" s="1124">
        <f t="shared" si="58"/>
        <v>0</v>
      </c>
      <c r="L138" s="1124">
        <f t="shared" si="58"/>
        <v>0</v>
      </c>
      <c r="M138" s="1161">
        <f>+L138-'110 Renta 20x3'!Q32</f>
        <v>0</v>
      </c>
    </row>
    <row r="139" spans="1:13" outlineLevel="1" x14ac:dyDescent="0.2">
      <c r="A139" s="837"/>
      <c r="B139" s="838"/>
      <c r="C139" s="195"/>
      <c r="D139" s="1511" t="s">
        <v>1519</v>
      </c>
      <c r="E139" s="1512"/>
      <c r="F139" s="1512"/>
      <c r="G139" s="1513"/>
      <c r="H139" s="1147"/>
      <c r="I139" s="1147"/>
      <c r="J139" s="1147"/>
      <c r="K139" s="1147"/>
      <c r="L139" s="1148">
        <v>0</v>
      </c>
      <c r="M139" s="1654">
        <f>+H138-'Sumaria contabilidad'!C51</f>
        <v>-24781741580</v>
      </c>
    </row>
    <row r="140" spans="1:13" outlineLevel="1" x14ac:dyDescent="0.2">
      <c r="A140" s="837"/>
      <c r="B140" s="838"/>
      <c r="C140" s="847"/>
      <c r="D140" s="1508" t="s">
        <v>1520</v>
      </c>
      <c r="E140" s="1509"/>
      <c r="F140" s="1509"/>
      <c r="G140" s="1510"/>
      <c r="H140" s="1125">
        <f>+SUM(H141:H152)</f>
        <v>0</v>
      </c>
      <c r="I140" s="1125">
        <f t="shared" ref="I140:L140" si="59">+SUM(I141:I152)</f>
        <v>0</v>
      </c>
      <c r="J140" s="1125">
        <f t="shared" si="59"/>
        <v>0</v>
      </c>
      <c r="K140" s="1125">
        <f t="shared" si="59"/>
        <v>0</v>
      </c>
      <c r="L140" s="1125">
        <f t="shared" si="59"/>
        <v>0</v>
      </c>
    </row>
    <row r="141" spans="1:13" outlineLevel="1" x14ac:dyDescent="0.2">
      <c r="A141" s="835">
        <v>137</v>
      </c>
      <c r="B141" s="840"/>
      <c r="C141" s="1149"/>
      <c r="D141" s="1531" t="s">
        <v>1521</v>
      </c>
      <c r="E141" s="1532"/>
      <c r="F141" s="1532"/>
      <c r="G141" s="1533"/>
      <c r="H141" s="1120">
        <f>+SUMIF('Sumaria renta 20x3'!G:G,'2516 20x3'!A141,'Sumaria renta 20x3'!C:C)</f>
        <v>0</v>
      </c>
      <c r="I141" s="1118"/>
      <c r="J141" s="842">
        <f t="shared" ref="J141:J152" si="60">+IF((H141&gt;L141),(H141-L141),0)</f>
        <v>0</v>
      </c>
      <c r="K141" s="842">
        <f t="shared" ref="K141:K152" si="61">+IF((H141&lt;L141),(L141-H141),0)</f>
        <v>0</v>
      </c>
      <c r="L141" s="842">
        <f>+SUMIF('Sumaria renta 20x3'!G:G,'2516 20x3'!A141,'Sumaria renta 20x3'!E:E)</f>
        <v>0</v>
      </c>
    </row>
    <row r="142" spans="1:13" outlineLevel="1" x14ac:dyDescent="0.2">
      <c r="A142" s="835">
        <v>138</v>
      </c>
      <c r="B142" s="840"/>
      <c r="C142" s="1149"/>
      <c r="D142" s="1531" t="s">
        <v>1522</v>
      </c>
      <c r="E142" s="1532"/>
      <c r="F142" s="1532"/>
      <c r="G142" s="1533"/>
      <c r="H142" s="1120">
        <f>+SUMIF('Sumaria renta 20x3'!G:G,'2516 20x3'!A142,'Sumaria renta 20x3'!C:C)</f>
        <v>0</v>
      </c>
      <c r="I142" s="1118"/>
      <c r="J142" s="842">
        <f t="shared" si="60"/>
        <v>0</v>
      </c>
      <c r="K142" s="842">
        <f t="shared" si="61"/>
        <v>0</v>
      </c>
      <c r="L142" s="842">
        <f>+SUMIF('Sumaria renta 20x3'!G:G,'2516 20x3'!A142,'Sumaria renta 20x3'!E:E)</f>
        <v>0</v>
      </c>
    </row>
    <row r="143" spans="1:13" outlineLevel="1" x14ac:dyDescent="0.2">
      <c r="A143" s="835">
        <v>139</v>
      </c>
      <c r="B143" s="840"/>
      <c r="C143" s="1149"/>
      <c r="D143" s="1531" t="s">
        <v>1523</v>
      </c>
      <c r="E143" s="1532"/>
      <c r="F143" s="1532"/>
      <c r="G143" s="1533"/>
      <c r="H143" s="1120">
        <f>+SUMIF('Sumaria renta 20x3'!G:G,'2516 20x3'!A143,'Sumaria renta 20x3'!C:C)</f>
        <v>0</v>
      </c>
      <c r="I143" s="1118"/>
      <c r="J143" s="842">
        <f t="shared" si="60"/>
        <v>0</v>
      </c>
      <c r="K143" s="842">
        <f t="shared" si="61"/>
        <v>0</v>
      </c>
      <c r="L143" s="842">
        <f>+SUMIF('Sumaria renta 20x3'!G:G,'2516 20x3'!A143,'Sumaria renta 20x3'!E:E)</f>
        <v>0</v>
      </c>
    </row>
    <row r="144" spans="1:13" outlineLevel="1" x14ac:dyDescent="0.2">
      <c r="A144" s="835">
        <v>140</v>
      </c>
      <c r="B144" s="840"/>
      <c r="C144" s="1149"/>
      <c r="D144" s="1531" t="s">
        <v>1524</v>
      </c>
      <c r="E144" s="1532"/>
      <c r="F144" s="1532"/>
      <c r="G144" s="1533"/>
      <c r="H144" s="1120">
        <f>+SUMIF('Sumaria renta 20x3'!G:G,'2516 20x3'!A144,'Sumaria renta 20x3'!C:C)</f>
        <v>0</v>
      </c>
      <c r="I144" s="1118"/>
      <c r="J144" s="842">
        <f t="shared" si="60"/>
        <v>0</v>
      </c>
      <c r="K144" s="842">
        <f t="shared" si="61"/>
        <v>0</v>
      </c>
      <c r="L144" s="842">
        <f>+SUMIF('Sumaria renta 20x3'!G:G,'2516 20x3'!A144,'Sumaria renta 20x3'!E:E)</f>
        <v>0</v>
      </c>
    </row>
    <row r="145" spans="1:12" outlineLevel="1" x14ac:dyDescent="0.2">
      <c r="A145" s="835">
        <v>141</v>
      </c>
      <c r="B145" s="840"/>
      <c r="C145" s="1149"/>
      <c r="D145" s="1531" t="s">
        <v>1525</v>
      </c>
      <c r="E145" s="1532"/>
      <c r="F145" s="1532"/>
      <c r="G145" s="1533"/>
      <c r="H145" s="1120">
        <f>+SUMIF('Sumaria renta 20x3'!G:G,'2516 20x3'!A145,'Sumaria renta 20x3'!C:C)</f>
        <v>0</v>
      </c>
      <c r="I145" s="1118"/>
      <c r="J145" s="842">
        <f t="shared" si="60"/>
        <v>0</v>
      </c>
      <c r="K145" s="842">
        <f t="shared" si="61"/>
        <v>0</v>
      </c>
      <c r="L145" s="842">
        <f>+SUMIF('Sumaria renta 20x3'!G:G,'2516 20x3'!A145,'Sumaria renta 20x3'!E:E)</f>
        <v>0</v>
      </c>
    </row>
    <row r="146" spans="1:12" outlineLevel="1" x14ac:dyDescent="0.2">
      <c r="A146" s="835">
        <v>142</v>
      </c>
      <c r="B146" s="840"/>
      <c r="C146" s="1149"/>
      <c r="D146" s="1531" t="s">
        <v>1526</v>
      </c>
      <c r="E146" s="1532"/>
      <c r="F146" s="1532"/>
      <c r="G146" s="1533"/>
      <c r="H146" s="1120">
        <f>+SUMIF('Sumaria renta 20x3'!G:G,'2516 20x3'!A146,'Sumaria renta 20x3'!C:C)</f>
        <v>0</v>
      </c>
      <c r="I146" s="1118"/>
      <c r="J146" s="842">
        <f t="shared" si="60"/>
        <v>0</v>
      </c>
      <c r="K146" s="842">
        <f t="shared" si="61"/>
        <v>0</v>
      </c>
      <c r="L146" s="842">
        <f>+SUMIF('Sumaria renta 20x3'!G:G,'2516 20x3'!A146,'Sumaria renta 20x3'!E:E)</f>
        <v>0</v>
      </c>
    </row>
    <row r="147" spans="1:12" outlineLevel="1" x14ac:dyDescent="0.2">
      <c r="A147" s="835">
        <v>143</v>
      </c>
      <c r="B147" s="840"/>
      <c r="C147" s="1149"/>
      <c r="D147" s="1531" t="s">
        <v>1527</v>
      </c>
      <c r="E147" s="1532"/>
      <c r="F147" s="1532"/>
      <c r="G147" s="1533"/>
      <c r="H147" s="1120">
        <f>+SUMIF('Sumaria renta 20x3'!G:G,'2516 20x3'!A147,'Sumaria renta 20x3'!C:C)</f>
        <v>0</v>
      </c>
      <c r="I147" s="1118"/>
      <c r="J147" s="842">
        <f t="shared" si="60"/>
        <v>0</v>
      </c>
      <c r="K147" s="842">
        <f t="shared" si="61"/>
        <v>0</v>
      </c>
      <c r="L147" s="842">
        <f>+SUMIF('Sumaria renta 20x3'!G:G,'2516 20x3'!A147,'Sumaria renta 20x3'!E:E)</f>
        <v>0</v>
      </c>
    </row>
    <row r="148" spans="1:12" ht="22.5" customHeight="1" outlineLevel="1" x14ac:dyDescent="0.2">
      <c r="A148" s="835">
        <v>144</v>
      </c>
      <c r="B148" s="840"/>
      <c r="C148" s="1149"/>
      <c r="D148" s="1531" t="s">
        <v>1528</v>
      </c>
      <c r="E148" s="1532"/>
      <c r="F148" s="1532"/>
      <c r="G148" s="1533"/>
      <c r="H148" s="1120">
        <f>+SUMIF('Sumaria renta 20x3'!G:G,'2516 20x3'!A148,'Sumaria renta 20x3'!C:C)</f>
        <v>0</v>
      </c>
      <c r="I148" s="1118"/>
      <c r="J148" s="842">
        <f t="shared" si="60"/>
        <v>0</v>
      </c>
      <c r="K148" s="842">
        <f t="shared" si="61"/>
        <v>0</v>
      </c>
      <c r="L148" s="842">
        <f>+SUMIF('Sumaria renta 20x3'!G:G,'2516 20x3'!A148,'Sumaria renta 20x3'!E:E)</f>
        <v>0</v>
      </c>
    </row>
    <row r="149" spans="1:12" outlineLevel="1" x14ac:dyDescent="0.2">
      <c r="A149" s="835">
        <v>145</v>
      </c>
      <c r="B149" s="840"/>
      <c r="C149" s="1149"/>
      <c r="D149" s="1531" t="s">
        <v>1529</v>
      </c>
      <c r="E149" s="1532"/>
      <c r="F149" s="1532"/>
      <c r="G149" s="1533"/>
      <c r="H149" s="1120">
        <f>+SUMIF('Sumaria renta 20x3'!G:G,'2516 20x3'!A149,'Sumaria renta 20x3'!C:C)</f>
        <v>0</v>
      </c>
      <c r="I149" s="1118"/>
      <c r="J149" s="842">
        <f t="shared" si="60"/>
        <v>0</v>
      </c>
      <c r="K149" s="842">
        <f t="shared" si="61"/>
        <v>0</v>
      </c>
      <c r="L149" s="842">
        <f>+SUMIF('Sumaria renta 20x3'!G:G,'2516 20x3'!A149,'Sumaria renta 20x3'!E:E)</f>
        <v>0</v>
      </c>
    </row>
    <row r="150" spans="1:12" outlineLevel="1" x14ac:dyDescent="0.2">
      <c r="A150" s="835">
        <v>146</v>
      </c>
      <c r="B150" s="840"/>
      <c r="C150" s="1149"/>
      <c r="D150" s="1531" t="s">
        <v>1530</v>
      </c>
      <c r="E150" s="1532"/>
      <c r="F150" s="1532"/>
      <c r="G150" s="1533"/>
      <c r="H150" s="1120">
        <f>+SUMIF('Sumaria renta 20x3'!G:G,'2516 20x3'!A150,'Sumaria renta 20x3'!C:C)</f>
        <v>0</v>
      </c>
      <c r="I150" s="1118"/>
      <c r="J150" s="842">
        <f t="shared" si="60"/>
        <v>0</v>
      </c>
      <c r="K150" s="842">
        <f t="shared" si="61"/>
        <v>0</v>
      </c>
      <c r="L150" s="842">
        <f>+SUMIF('Sumaria renta 20x3'!G:G,'2516 20x3'!A150,'Sumaria renta 20x3'!E:E)</f>
        <v>0</v>
      </c>
    </row>
    <row r="151" spans="1:12" ht="22.5" customHeight="1" outlineLevel="1" x14ac:dyDescent="0.2">
      <c r="A151" s="835">
        <v>147</v>
      </c>
      <c r="B151" s="840"/>
      <c r="C151" s="1149"/>
      <c r="D151" s="1531" t="s">
        <v>1531</v>
      </c>
      <c r="E151" s="1532"/>
      <c r="F151" s="1532"/>
      <c r="G151" s="1533"/>
      <c r="H151" s="1120">
        <f>+SUMIF('Sumaria renta 20x3'!G:G,'2516 20x3'!A151,'Sumaria renta 20x3'!C:C)</f>
        <v>0</v>
      </c>
      <c r="I151" s="1118"/>
      <c r="J151" s="842">
        <f t="shared" si="60"/>
        <v>0</v>
      </c>
      <c r="K151" s="842">
        <f t="shared" si="61"/>
        <v>0</v>
      </c>
      <c r="L151" s="842">
        <f>+SUMIF('Sumaria renta 20x3'!G:G,'2516 20x3'!A151,'Sumaria renta 20x3'!E:E)</f>
        <v>0</v>
      </c>
    </row>
    <row r="152" spans="1:12" ht="22.5" customHeight="1" outlineLevel="1" x14ac:dyDescent="0.2">
      <c r="A152" s="835">
        <v>148</v>
      </c>
      <c r="B152" s="840"/>
      <c r="C152" s="1149"/>
      <c r="D152" s="1531" t="s">
        <v>1532</v>
      </c>
      <c r="E152" s="1532"/>
      <c r="F152" s="1532"/>
      <c r="G152" s="1533"/>
      <c r="H152" s="1120">
        <f>+SUMIF('Sumaria renta 20x3'!G:G,'2516 20x3'!A152,'Sumaria renta 20x3'!C:C)</f>
        <v>0</v>
      </c>
      <c r="I152" s="1118"/>
      <c r="J152" s="842">
        <f t="shared" si="60"/>
        <v>0</v>
      </c>
      <c r="K152" s="842">
        <f t="shared" si="61"/>
        <v>0</v>
      </c>
      <c r="L152" s="842">
        <f>+SUMIF('Sumaria renta 20x3'!G:G,'2516 20x3'!A152,'Sumaria renta 20x3'!E:E)</f>
        <v>0</v>
      </c>
    </row>
    <row r="153" spans="1:12" outlineLevel="1" x14ac:dyDescent="0.2">
      <c r="A153" s="837"/>
      <c r="B153" s="838"/>
      <c r="C153" s="1149"/>
      <c r="D153" s="1508" t="s">
        <v>1533</v>
      </c>
      <c r="E153" s="1509"/>
      <c r="F153" s="1509"/>
      <c r="G153" s="1510"/>
      <c r="H153" s="1125">
        <f>+SUM(H154:H156)</f>
        <v>0</v>
      </c>
      <c r="I153" s="1125">
        <f t="shared" ref="I153:L153" si="62">+SUM(I154:I156)</f>
        <v>0</v>
      </c>
      <c r="J153" s="1125">
        <f t="shared" si="62"/>
        <v>0</v>
      </c>
      <c r="K153" s="1125">
        <f t="shared" si="62"/>
        <v>0</v>
      </c>
      <c r="L153" s="1125">
        <f t="shared" si="62"/>
        <v>0</v>
      </c>
    </row>
    <row r="154" spans="1:12" outlineLevel="1" x14ac:dyDescent="0.2">
      <c r="A154" s="835">
        <v>150</v>
      </c>
      <c r="B154" s="840"/>
      <c r="C154" s="1149"/>
      <c r="D154" s="1531" t="s">
        <v>1534</v>
      </c>
      <c r="E154" s="1532"/>
      <c r="F154" s="1532"/>
      <c r="G154" s="1533"/>
      <c r="H154" s="1120">
        <f>+SUMIF('Sumaria renta 20x3'!G:G,'2516 20x3'!A154,'Sumaria renta 20x3'!C:C)</f>
        <v>0</v>
      </c>
      <c r="I154" s="1118"/>
      <c r="J154" s="842">
        <f t="shared" ref="J154:J156" si="63">+IF((H154&gt;L154),(H154-L154),0)</f>
        <v>0</v>
      </c>
      <c r="K154" s="842">
        <f t="shared" ref="K154:K156" si="64">+IF((H154&lt;L154),(L154-H154),0)</f>
        <v>0</v>
      </c>
      <c r="L154" s="842">
        <f>+SUMIF('Sumaria renta 20x3'!G:G,'2516 20x3'!A154,'Sumaria renta 20x3'!E:E)</f>
        <v>0</v>
      </c>
    </row>
    <row r="155" spans="1:12" outlineLevel="1" x14ac:dyDescent="0.2">
      <c r="A155" s="835">
        <v>151</v>
      </c>
      <c r="B155" s="840"/>
      <c r="C155" s="1149"/>
      <c r="D155" s="1531" t="s">
        <v>1535</v>
      </c>
      <c r="E155" s="1532"/>
      <c r="F155" s="1532"/>
      <c r="G155" s="1533"/>
      <c r="H155" s="1120">
        <f>+SUMIF('Sumaria renta 20x3'!G:G,'2516 20x3'!A155,'Sumaria renta 20x3'!C:C)</f>
        <v>0</v>
      </c>
      <c r="I155" s="1118"/>
      <c r="J155" s="842">
        <f t="shared" si="63"/>
        <v>0</v>
      </c>
      <c r="K155" s="842">
        <f t="shared" si="64"/>
        <v>0</v>
      </c>
      <c r="L155" s="842">
        <f>+SUMIF('Sumaria renta 20x3'!G:G,'2516 20x3'!A155,'Sumaria renta 20x3'!E:E)</f>
        <v>0</v>
      </c>
    </row>
    <row r="156" spans="1:12" outlineLevel="1" x14ac:dyDescent="0.2">
      <c r="A156" s="835">
        <v>152</v>
      </c>
      <c r="B156" s="840"/>
      <c r="C156" s="1149"/>
      <c r="D156" s="1531" t="s">
        <v>1536</v>
      </c>
      <c r="E156" s="1532"/>
      <c r="F156" s="1532"/>
      <c r="G156" s="1533"/>
      <c r="H156" s="1120">
        <f>+SUMIF('Sumaria renta 20x3'!G:G,'2516 20x3'!A156,'Sumaria renta 20x3'!C:C)</f>
        <v>0</v>
      </c>
      <c r="I156" s="1118"/>
      <c r="J156" s="842">
        <f t="shared" si="63"/>
        <v>0</v>
      </c>
      <c r="K156" s="842">
        <f t="shared" si="64"/>
        <v>0</v>
      </c>
      <c r="L156" s="842">
        <f>+SUMIF('Sumaria renta 20x3'!G:G,'2516 20x3'!A156,'Sumaria renta 20x3'!E:E)</f>
        <v>0</v>
      </c>
    </row>
    <row r="157" spans="1:12" outlineLevel="1" x14ac:dyDescent="0.2">
      <c r="A157" s="837"/>
      <c r="B157" s="838"/>
      <c r="C157" s="1149"/>
      <c r="D157" s="1508" t="s">
        <v>1537</v>
      </c>
      <c r="E157" s="1509"/>
      <c r="F157" s="1509"/>
      <c r="G157" s="1510"/>
      <c r="H157" s="1125">
        <f>+SUM(H158:H162)</f>
        <v>0</v>
      </c>
      <c r="I157" s="1125">
        <f t="shared" ref="I157:L157" si="65">+SUM(I158:I162)</f>
        <v>0</v>
      </c>
      <c r="J157" s="1125">
        <f t="shared" si="65"/>
        <v>0</v>
      </c>
      <c r="K157" s="1125">
        <f t="shared" si="65"/>
        <v>0</v>
      </c>
      <c r="L157" s="1125">
        <f t="shared" si="65"/>
        <v>0</v>
      </c>
    </row>
    <row r="158" spans="1:12" outlineLevel="1" x14ac:dyDescent="0.2">
      <c r="A158" s="835">
        <v>154</v>
      </c>
      <c r="B158" s="840"/>
      <c r="C158" s="1149"/>
      <c r="D158" s="1531" t="s">
        <v>1538</v>
      </c>
      <c r="E158" s="1532"/>
      <c r="F158" s="1532"/>
      <c r="G158" s="1533"/>
      <c r="H158" s="1120">
        <f>+SUMIF('Sumaria renta 20x3'!G:G,'2516 20x3'!A158,'Sumaria renta 20x3'!C:C)</f>
        <v>0</v>
      </c>
      <c r="I158" s="1118"/>
      <c r="J158" s="842">
        <f t="shared" ref="J158" si="66">+IF((H158&gt;L158),(H158-L158),0)</f>
        <v>0</v>
      </c>
      <c r="K158" s="842">
        <f t="shared" ref="K158" si="67">+IF((H158&lt;L158),(L158-H158),0)</f>
        <v>0</v>
      </c>
      <c r="L158" s="842">
        <f>+SUMIF('Sumaria renta 20x3'!G:G,'2516 20x3'!A158,'Sumaria renta 20x3'!E:E)</f>
        <v>0</v>
      </c>
    </row>
    <row r="159" spans="1:12" outlineLevel="1" x14ac:dyDescent="0.2">
      <c r="A159" s="835">
        <v>155</v>
      </c>
      <c r="B159" s="840"/>
      <c r="C159" s="1149"/>
      <c r="D159" s="1531" t="s">
        <v>1539</v>
      </c>
      <c r="E159" s="1532"/>
      <c r="F159" s="1532"/>
      <c r="G159" s="1533"/>
      <c r="H159" s="1120">
        <f>+SUMIF('Sumaria renta 20x3'!G:G,'2516 20x3'!A159,'Sumaria renta 20x3'!C:C)</f>
        <v>0</v>
      </c>
      <c r="I159" s="1118"/>
      <c r="J159" s="842">
        <f>+IF((H159&gt;L159),(H159-L159),0)</f>
        <v>0</v>
      </c>
      <c r="K159" s="842">
        <f>+IF((H159&lt;L159),(L159-H159),0)</f>
        <v>0</v>
      </c>
      <c r="L159" s="842">
        <f>+SUMIF('Sumaria renta 20x3'!G:G,'2516 20x3'!A159,'Sumaria renta 20x3'!E:E)</f>
        <v>0</v>
      </c>
    </row>
    <row r="160" spans="1:12" ht="21.75" customHeight="1" outlineLevel="1" x14ac:dyDescent="0.2">
      <c r="A160" s="835">
        <v>156</v>
      </c>
      <c r="B160" s="840"/>
      <c r="C160" s="1149"/>
      <c r="D160" s="1531" t="s">
        <v>1540</v>
      </c>
      <c r="E160" s="1532"/>
      <c r="F160" s="1532"/>
      <c r="G160" s="1533"/>
      <c r="H160" s="1120">
        <f>+SUMIF('Sumaria renta 20x3'!G:G,'2516 20x3'!A160,'Sumaria renta 20x3'!C:C)</f>
        <v>0</v>
      </c>
      <c r="I160" s="1118"/>
      <c r="J160" s="842">
        <f t="shared" ref="J160:J162" si="68">+IF((H160&gt;L160),(H160-L160),0)</f>
        <v>0</v>
      </c>
      <c r="K160" s="842">
        <f t="shared" ref="K160:K162" si="69">+IF((H160&lt;L160),(L160-H160),0)</f>
        <v>0</v>
      </c>
      <c r="L160" s="842">
        <f>+SUMIF('Sumaria renta 20x3'!G:G,'2516 20x3'!A160,'Sumaria renta 20x3'!E:E)</f>
        <v>0</v>
      </c>
    </row>
    <row r="161" spans="1:12" outlineLevel="1" x14ac:dyDescent="0.2">
      <c r="A161" s="835">
        <v>157</v>
      </c>
      <c r="B161" s="840"/>
      <c r="C161" s="1149"/>
      <c r="D161" s="1531" t="s">
        <v>1428</v>
      </c>
      <c r="E161" s="1532"/>
      <c r="F161" s="1532"/>
      <c r="G161" s="1533"/>
      <c r="H161" s="1120">
        <f>+SUMIF('Sumaria renta 20x3'!G:G,'2516 20x3'!A161,'Sumaria renta 20x3'!C:C)</f>
        <v>0</v>
      </c>
      <c r="I161" s="1118"/>
      <c r="J161" s="842">
        <f t="shared" si="68"/>
        <v>0</v>
      </c>
      <c r="K161" s="842">
        <f t="shared" si="69"/>
        <v>0</v>
      </c>
      <c r="L161" s="842">
        <f>+SUMIF('Sumaria renta 20x3'!G:G,'2516 20x3'!A161,'Sumaria renta 20x3'!E:E)</f>
        <v>0</v>
      </c>
    </row>
    <row r="162" spans="1:12" outlineLevel="1" x14ac:dyDescent="0.2">
      <c r="A162" s="835">
        <v>158</v>
      </c>
      <c r="B162" s="840"/>
      <c r="C162" s="1149"/>
      <c r="D162" s="1531" t="s">
        <v>1537</v>
      </c>
      <c r="E162" s="1532"/>
      <c r="F162" s="1532"/>
      <c r="G162" s="1533"/>
      <c r="H162" s="1120">
        <f>+SUMIF('Sumaria renta 20x3'!G:G,'2516 20x3'!A162,'Sumaria renta 20x3'!C:C)</f>
        <v>0</v>
      </c>
      <c r="I162" s="1118"/>
      <c r="J162" s="842">
        <f t="shared" si="68"/>
        <v>0</v>
      </c>
      <c r="K162" s="842">
        <f t="shared" si="69"/>
        <v>0</v>
      </c>
      <c r="L162" s="842">
        <f>+SUMIF('Sumaria renta 20x3'!G:G,'2516 20x3'!A162,'Sumaria renta 20x3'!E:E)</f>
        <v>0</v>
      </c>
    </row>
    <row r="163" spans="1:12" outlineLevel="1" x14ac:dyDescent="0.2">
      <c r="A163" s="837"/>
      <c r="B163" s="838"/>
      <c r="C163" s="1149"/>
      <c r="D163" s="1508" t="s">
        <v>1541</v>
      </c>
      <c r="E163" s="1509"/>
      <c r="F163" s="1509"/>
      <c r="G163" s="1510"/>
      <c r="H163" s="1116">
        <f>+SUM(H164:H166)</f>
        <v>0</v>
      </c>
      <c r="I163" s="1116">
        <f t="shared" ref="I163:L163" si="70">+SUM(I164:I166)</f>
        <v>0</v>
      </c>
      <c r="J163" s="1116">
        <f t="shared" si="70"/>
        <v>0</v>
      </c>
      <c r="K163" s="1116">
        <f t="shared" si="70"/>
        <v>0</v>
      </c>
      <c r="L163" s="1116">
        <f t="shared" si="70"/>
        <v>0</v>
      </c>
    </row>
    <row r="164" spans="1:12" ht="13.5" customHeight="1" outlineLevel="1" x14ac:dyDescent="0.2">
      <c r="A164" s="835">
        <v>160</v>
      </c>
      <c r="B164" s="840"/>
      <c r="C164" s="1149"/>
      <c r="D164" s="1531" t="s">
        <v>1542</v>
      </c>
      <c r="E164" s="1532"/>
      <c r="F164" s="1532"/>
      <c r="G164" s="1533"/>
      <c r="H164" s="1120">
        <f>+SUMIF('Sumaria renta 20x3'!G:G,'2516 20x3'!A164,'Sumaria renta 20x3'!C:C)</f>
        <v>0</v>
      </c>
      <c r="I164" s="1118"/>
      <c r="J164" s="842">
        <f t="shared" ref="J164:J166" si="71">+IF((H164&gt;L164),(H164-L164),0)</f>
        <v>0</v>
      </c>
      <c r="K164" s="842">
        <f t="shared" ref="K164:K166" si="72">+IF((H164&lt;L164),(L164-H164),0)</f>
        <v>0</v>
      </c>
      <c r="L164" s="842">
        <f>+SUMIF('Sumaria renta 20x3'!G:G,'2516 20x3'!A164,'Sumaria renta 20x3'!E:E)</f>
        <v>0</v>
      </c>
    </row>
    <row r="165" spans="1:12" outlineLevel="1" x14ac:dyDescent="0.2">
      <c r="A165" s="835">
        <v>161</v>
      </c>
      <c r="B165" s="840"/>
      <c r="C165" s="1149"/>
      <c r="D165" s="1531" t="s">
        <v>1543</v>
      </c>
      <c r="E165" s="1532"/>
      <c r="F165" s="1532"/>
      <c r="G165" s="1533"/>
      <c r="H165" s="1120">
        <f>+SUMIF('Sumaria renta 20x3'!G:G,'2516 20x3'!A165,'Sumaria renta 20x3'!C:C)</f>
        <v>0</v>
      </c>
      <c r="I165" s="1118"/>
      <c r="J165" s="842">
        <f t="shared" si="71"/>
        <v>0</v>
      </c>
      <c r="K165" s="842">
        <f t="shared" si="72"/>
        <v>0</v>
      </c>
      <c r="L165" s="842">
        <f>+SUMIF('Sumaria renta 20x3'!G:G,'2516 20x3'!A165,'Sumaria renta 20x3'!E:E)</f>
        <v>0</v>
      </c>
    </row>
    <row r="166" spans="1:12" outlineLevel="1" x14ac:dyDescent="0.2">
      <c r="A166" s="835">
        <v>162</v>
      </c>
      <c r="B166" s="840"/>
      <c r="C166" s="1149"/>
      <c r="D166" s="1531" t="s">
        <v>1544</v>
      </c>
      <c r="E166" s="1532"/>
      <c r="F166" s="1532"/>
      <c r="G166" s="1533"/>
      <c r="H166" s="1120">
        <f>+SUMIF('Sumaria renta 20x3'!G:G,'2516 20x3'!A166,'Sumaria renta 20x3'!C:C)</f>
        <v>0</v>
      </c>
      <c r="I166" s="1118"/>
      <c r="J166" s="842">
        <f t="shared" si="71"/>
        <v>0</v>
      </c>
      <c r="K166" s="842">
        <f t="shared" si="72"/>
        <v>0</v>
      </c>
      <c r="L166" s="842">
        <f>+SUMIF('Sumaria renta 20x3'!G:G,'2516 20x3'!A166,'Sumaria renta 20x3'!E:E)</f>
        <v>0</v>
      </c>
    </row>
    <row r="167" spans="1:12" outlineLevel="1" x14ac:dyDescent="0.2">
      <c r="A167" s="835">
        <v>163</v>
      </c>
      <c r="B167" s="840"/>
      <c r="C167" s="1149"/>
      <c r="D167" s="1508" t="s">
        <v>127</v>
      </c>
      <c r="E167" s="1509"/>
      <c r="F167" s="1509"/>
      <c r="G167" s="1510"/>
      <c r="H167" s="1129">
        <f>+SUMIF('Sumaria renta 20x3'!G:G,'2516 20x3'!A167,'Sumaria renta 20x3'!C:C)</f>
        <v>0</v>
      </c>
      <c r="I167" s="1130"/>
      <c r="J167" s="1131">
        <f>+IF((H167&gt;L167),(H167-L167),0)</f>
        <v>0</v>
      </c>
      <c r="K167" s="1132"/>
      <c r="L167" s="1132">
        <v>0</v>
      </c>
    </row>
    <row r="168" spans="1:12" outlineLevel="1" x14ac:dyDescent="0.2">
      <c r="A168" s="848">
        <v>164</v>
      </c>
      <c r="B168" s="838"/>
      <c r="C168" s="1149"/>
      <c r="D168" s="1508" t="s">
        <v>1545</v>
      </c>
      <c r="E168" s="1509"/>
      <c r="F168" s="1509"/>
      <c r="G168" s="1510"/>
      <c r="H168" s="1116">
        <f>+SUM(H169:H172)</f>
        <v>0</v>
      </c>
      <c r="I168" s="1116">
        <f t="shared" ref="I168:L168" si="73">+SUM(I169:I172)</f>
        <v>0</v>
      </c>
      <c r="J168" s="1116">
        <f t="shared" si="73"/>
        <v>0</v>
      </c>
      <c r="K168" s="1116">
        <f t="shared" si="73"/>
        <v>0</v>
      </c>
      <c r="L168" s="1116">
        <f t="shared" si="73"/>
        <v>0</v>
      </c>
    </row>
    <row r="169" spans="1:12" outlineLevel="1" x14ac:dyDescent="0.2">
      <c r="A169" s="835">
        <v>165</v>
      </c>
      <c r="B169" s="840"/>
      <c r="C169" s="1149"/>
      <c r="D169" s="1531" t="s">
        <v>1546</v>
      </c>
      <c r="E169" s="1532"/>
      <c r="F169" s="1532"/>
      <c r="G169" s="1533"/>
      <c r="H169" s="1120">
        <f>+SUMIF('Sumaria renta 20x3'!G:G,'2516 20x3'!A169,'Sumaria renta 20x3'!C:C)</f>
        <v>0</v>
      </c>
      <c r="I169" s="1118"/>
      <c r="J169" s="842">
        <f t="shared" ref="J169:J172" si="74">+IF((H169&gt;L169),(H169-L169),0)</f>
        <v>0</v>
      </c>
      <c r="K169" s="842">
        <f t="shared" ref="K169:K172" si="75">+IF((H169&lt;L169),(L169-H169),0)</f>
        <v>0</v>
      </c>
      <c r="L169" s="842">
        <f>+SUMIF('Sumaria renta 20x3'!G:G,'2516 20x3'!A169,'Sumaria renta 20x3'!E:E)</f>
        <v>0</v>
      </c>
    </row>
    <row r="170" spans="1:12" outlineLevel="1" x14ac:dyDescent="0.2">
      <c r="A170" s="835">
        <v>166</v>
      </c>
      <c r="B170" s="840"/>
      <c r="C170" s="1149"/>
      <c r="D170" s="1531" t="s">
        <v>1547</v>
      </c>
      <c r="E170" s="1532"/>
      <c r="F170" s="1532"/>
      <c r="G170" s="1533"/>
      <c r="H170" s="1120">
        <f>+SUMIF('Sumaria renta 20x3'!G:G,'2516 20x3'!A170,'Sumaria renta 20x3'!C:C)</f>
        <v>0</v>
      </c>
      <c r="I170" s="1118"/>
      <c r="J170" s="842">
        <f t="shared" si="74"/>
        <v>0</v>
      </c>
      <c r="K170" s="842">
        <f t="shared" si="75"/>
        <v>0</v>
      </c>
      <c r="L170" s="842">
        <f>+SUMIF('Sumaria renta 20x3'!G:G,'2516 20x3'!A170,'Sumaria renta 20x3'!E:E)</f>
        <v>0</v>
      </c>
    </row>
    <row r="171" spans="1:12" outlineLevel="1" x14ac:dyDescent="0.2">
      <c r="A171" s="835">
        <v>167</v>
      </c>
      <c r="B171" s="840"/>
      <c r="C171" s="1149"/>
      <c r="D171" s="1531" t="s">
        <v>1548</v>
      </c>
      <c r="E171" s="1532"/>
      <c r="F171" s="1532"/>
      <c r="G171" s="1533"/>
      <c r="H171" s="1120">
        <f>+SUMIF('Sumaria renta 20x3'!G:G,'2516 20x3'!A171,'Sumaria renta 20x3'!C:C)</f>
        <v>0</v>
      </c>
      <c r="I171" s="1118"/>
      <c r="J171" s="842">
        <f t="shared" si="74"/>
        <v>0</v>
      </c>
      <c r="K171" s="842">
        <f t="shared" si="75"/>
        <v>0</v>
      </c>
      <c r="L171" s="842">
        <f>+SUMIF('Sumaria renta 20x3'!G:G,'2516 20x3'!A171,'Sumaria renta 20x3'!E:E)</f>
        <v>0</v>
      </c>
    </row>
    <row r="172" spans="1:12" outlineLevel="1" x14ac:dyDescent="0.2">
      <c r="A172" s="835">
        <v>168</v>
      </c>
      <c r="B172" s="840"/>
      <c r="C172" s="1149"/>
      <c r="D172" s="1531" t="s">
        <v>1549</v>
      </c>
      <c r="E172" s="1532"/>
      <c r="F172" s="1532"/>
      <c r="G172" s="1533"/>
      <c r="H172" s="1120">
        <f>+SUMIF('Sumaria renta 20x3'!G:G,'2516 20x3'!A172,'Sumaria renta 20x3'!C:C)</f>
        <v>0</v>
      </c>
      <c r="I172" s="1118"/>
      <c r="J172" s="842">
        <f t="shared" si="74"/>
        <v>0</v>
      </c>
      <c r="K172" s="842">
        <f t="shared" si="75"/>
        <v>0</v>
      </c>
      <c r="L172" s="842">
        <f>+SUMIF('Sumaria renta 20x3'!G:G,'2516 20x3'!A172,'Sumaria renta 20x3'!E:E)</f>
        <v>0</v>
      </c>
    </row>
    <row r="173" spans="1:12" outlineLevel="1" x14ac:dyDescent="0.2">
      <c r="A173" s="837"/>
      <c r="B173" s="838"/>
      <c r="C173" s="1149"/>
      <c r="D173" s="1508" t="s">
        <v>1550</v>
      </c>
      <c r="E173" s="1509"/>
      <c r="F173" s="1509"/>
      <c r="G173" s="1510"/>
      <c r="H173" s="1116">
        <f>+SUM(H174:H184)</f>
        <v>0</v>
      </c>
      <c r="I173" s="1116">
        <f t="shared" ref="I173:L173" si="76">+SUM(I174:I184)</f>
        <v>0</v>
      </c>
      <c r="J173" s="1116">
        <f t="shared" si="76"/>
        <v>0</v>
      </c>
      <c r="K173" s="1116">
        <f t="shared" si="76"/>
        <v>0</v>
      </c>
      <c r="L173" s="1116">
        <f t="shared" si="76"/>
        <v>0</v>
      </c>
    </row>
    <row r="174" spans="1:12" ht="12.75" customHeight="1" outlineLevel="1" x14ac:dyDescent="0.2">
      <c r="A174" s="835">
        <v>170</v>
      </c>
      <c r="B174" s="840"/>
      <c r="C174" s="1149"/>
      <c r="D174" s="1531" t="s">
        <v>1551</v>
      </c>
      <c r="E174" s="1532"/>
      <c r="F174" s="1532"/>
      <c r="G174" s="1533"/>
      <c r="H174" s="1120">
        <f>+SUMIF('Sumaria renta 20x3'!G:G,'2516 20x3'!A174,'Sumaria renta 20x3'!C:C)</f>
        <v>0</v>
      </c>
      <c r="I174" s="1118"/>
      <c r="J174" s="842">
        <f t="shared" ref="J174:J184" si="77">+IF((H174&gt;L174),(H174-L174),0)</f>
        <v>0</v>
      </c>
      <c r="K174" s="844"/>
      <c r="L174" s="844">
        <v>0</v>
      </c>
    </row>
    <row r="175" spans="1:12" outlineLevel="1" x14ac:dyDescent="0.2">
      <c r="A175" s="835">
        <v>171</v>
      </c>
      <c r="B175" s="840"/>
      <c r="C175" s="1149"/>
      <c r="D175" s="1531" t="s">
        <v>1552</v>
      </c>
      <c r="E175" s="1532"/>
      <c r="F175" s="1532"/>
      <c r="G175" s="1533"/>
      <c r="H175" s="1120">
        <f>+SUMIF('Sumaria renta 20x3'!G:G,'2516 20x3'!A175,'Sumaria renta 20x3'!C:C)</f>
        <v>0</v>
      </c>
      <c r="I175" s="1118"/>
      <c r="J175" s="842">
        <f t="shared" si="77"/>
        <v>0</v>
      </c>
      <c r="K175" s="844"/>
      <c r="L175" s="844">
        <v>0</v>
      </c>
    </row>
    <row r="176" spans="1:12" outlineLevel="1" x14ac:dyDescent="0.2">
      <c r="A176" s="835">
        <v>172</v>
      </c>
      <c r="B176" s="840"/>
      <c r="C176" s="1149"/>
      <c r="D176" s="1531" t="s">
        <v>1553</v>
      </c>
      <c r="E176" s="1532"/>
      <c r="F176" s="1532"/>
      <c r="G176" s="1533"/>
      <c r="H176" s="1120">
        <f>+SUMIF('Sumaria renta 20x3'!G:G,'2516 20x3'!A176,'Sumaria renta 20x3'!C:C)</f>
        <v>0</v>
      </c>
      <c r="I176" s="1118"/>
      <c r="J176" s="842">
        <f t="shared" si="77"/>
        <v>0</v>
      </c>
      <c r="K176" s="844"/>
      <c r="L176" s="844">
        <v>0</v>
      </c>
    </row>
    <row r="177" spans="1:12" outlineLevel="1" x14ac:dyDescent="0.2">
      <c r="A177" s="835">
        <v>173</v>
      </c>
      <c r="B177" s="840"/>
      <c r="C177" s="1149"/>
      <c r="D177" s="1531" t="s">
        <v>1554</v>
      </c>
      <c r="E177" s="1532"/>
      <c r="F177" s="1532"/>
      <c r="G177" s="1533"/>
      <c r="H177" s="1120">
        <f>+SUMIF('Sumaria renta 20x3'!G:G,'2516 20x3'!A177,'Sumaria renta 20x3'!C:C)</f>
        <v>0</v>
      </c>
      <c r="I177" s="1118"/>
      <c r="J177" s="842">
        <f t="shared" si="77"/>
        <v>0</v>
      </c>
      <c r="K177" s="844"/>
      <c r="L177" s="844">
        <v>0</v>
      </c>
    </row>
    <row r="178" spans="1:12" outlineLevel="1" x14ac:dyDescent="0.2">
      <c r="A178" s="835">
        <v>174</v>
      </c>
      <c r="B178" s="840"/>
      <c r="C178" s="1149"/>
      <c r="D178" s="1531" t="s">
        <v>401</v>
      </c>
      <c r="E178" s="1532"/>
      <c r="F178" s="1532"/>
      <c r="G178" s="1533"/>
      <c r="H178" s="1120">
        <f>+SUMIF('Sumaria renta 20x3'!G:G,'2516 20x3'!A178,'Sumaria renta 20x3'!C:C)</f>
        <v>0</v>
      </c>
      <c r="I178" s="1118"/>
      <c r="J178" s="842">
        <f t="shared" si="77"/>
        <v>0</v>
      </c>
      <c r="K178" s="844"/>
      <c r="L178" s="844">
        <v>0</v>
      </c>
    </row>
    <row r="179" spans="1:12" outlineLevel="1" x14ac:dyDescent="0.2">
      <c r="A179" s="835">
        <v>175</v>
      </c>
      <c r="B179" s="840"/>
      <c r="C179" s="1149"/>
      <c r="D179" s="1531" t="s">
        <v>1555</v>
      </c>
      <c r="E179" s="1532"/>
      <c r="F179" s="1532"/>
      <c r="G179" s="1533"/>
      <c r="H179" s="1120">
        <f>+SUMIF('Sumaria renta 20x3'!G:G,'2516 20x3'!A179,'Sumaria renta 20x3'!C:C)</f>
        <v>0</v>
      </c>
      <c r="I179" s="1118"/>
      <c r="J179" s="842">
        <f t="shared" si="77"/>
        <v>0</v>
      </c>
      <c r="K179" s="844"/>
      <c r="L179" s="844">
        <v>0</v>
      </c>
    </row>
    <row r="180" spans="1:12" outlineLevel="1" x14ac:dyDescent="0.2">
      <c r="A180" s="835">
        <v>176</v>
      </c>
      <c r="B180" s="840"/>
      <c r="C180" s="1149"/>
      <c r="D180" s="1531" t="s">
        <v>1556</v>
      </c>
      <c r="E180" s="1532"/>
      <c r="F180" s="1532"/>
      <c r="G180" s="1533"/>
      <c r="H180" s="1120">
        <f>+SUMIF('Sumaria renta 20x3'!G:G,'2516 20x3'!A180,'Sumaria renta 20x3'!C:C)</f>
        <v>0</v>
      </c>
      <c r="I180" s="1118"/>
      <c r="J180" s="842">
        <f t="shared" si="77"/>
        <v>0</v>
      </c>
      <c r="K180" s="844"/>
      <c r="L180" s="844">
        <v>0</v>
      </c>
    </row>
    <row r="181" spans="1:12" outlineLevel="1" x14ac:dyDescent="0.2">
      <c r="A181" s="835">
        <v>177</v>
      </c>
      <c r="B181" s="840"/>
      <c r="C181" s="1149"/>
      <c r="D181" s="1531" t="s">
        <v>1557</v>
      </c>
      <c r="E181" s="1532"/>
      <c r="F181" s="1532"/>
      <c r="G181" s="1533"/>
      <c r="H181" s="1120">
        <f>+SUMIF('Sumaria renta 20x3'!G:G,'2516 20x3'!A181,'Sumaria renta 20x3'!C:C)</f>
        <v>0</v>
      </c>
      <c r="I181" s="1118"/>
      <c r="J181" s="842">
        <f t="shared" si="77"/>
        <v>0</v>
      </c>
      <c r="K181" s="844"/>
      <c r="L181" s="844">
        <v>0</v>
      </c>
    </row>
    <row r="182" spans="1:12" ht="24.75" customHeight="1" outlineLevel="1" x14ac:dyDescent="0.2">
      <c r="A182" s="835">
        <v>178</v>
      </c>
      <c r="B182" s="840"/>
      <c r="C182" s="1149"/>
      <c r="D182" s="1531" t="s">
        <v>1558</v>
      </c>
      <c r="E182" s="1532"/>
      <c r="F182" s="1532"/>
      <c r="G182" s="1533"/>
      <c r="H182" s="1120">
        <f>+SUMIF('Sumaria renta 20x3'!G:G,'2516 20x3'!A182,'Sumaria renta 20x3'!C:C)</f>
        <v>0</v>
      </c>
      <c r="I182" s="1118"/>
      <c r="J182" s="842">
        <f t="shared" si="77"/>
        <v>0</v>
      </c>
      <c r="K182" s="844"/>
      <c r="L182" s="844">
        <v>0</v>
      </c>
    </row>
    <row r="183" spans="1:12" outlineLevel="1" x14ac:dyDescent="0.2">
      <c r="A183" s="835">
        <v>179</v>
      </c>
      <c r="B183" s="840"/>
      <c r="C183" s="1149"/>
      <c r="D183" s="1531" t="s">
        <v>1559</v>
      </c>
      <c r="E183" s="1532"/>
      <c r="F183" s="1532"/>
      <c r="G183" s="1533"/>
      <c r="H183" s="1120">
        <f>+SUMIF('Sumaria renta 20x3'!G:G,'2516 20x3'!A183,'Sumaria renta 20x3'!C:C)</f>
        <v>0</v>
      </c>
      <c r="I183" s="1118"/>
      <c r="J183" s="842">
        <f t="shared" si="77"/>
        <v>0</v>
      </c>
      <c r="K183" s="844"/>
      <c r="L183" s="844">
        <v>0</v>
      </c>
    </row>
    <row r="184" spans="1:12" outlineLevel="1" x14ac:dyDescent="0.2">
      <c r="A184" s="835">
        <v>180</v>
      </c>
      <c r="B184" s="840"/>
      <c r="C184" s="1149"/>
      <c r="D184" s="1531" t="s">
        <v>1560</v>
      </c>
      <c r="E184" s="1532"/>
      <c r="F184" s="1532"/>
      <c r="G184" s="1533"/>
      <c r="H184" s="1120">
        <f>+SUMIF('Sumaria renta 20x3'!G:G,'2516 20x3'!A184,'Sumaria renta 20x3'!C:C)</f>
        <v>0</v>
      </c>
      <c r="I184" s="1118"/>
      <c r="J184" s="842">
        <f t="shared" si="77"/>
        <v>0</v>
      </c>
      <c r="K184" s="844"/>
      <c r="L184" s="844">
        <v>0</v>
      </c>
    </row>
    <row r="185" spans="1:12" outlineLevel="1" x14ac:dyDescent="0.2">
      <c r="A185" s="837"/>
      <c r="B185" s="838"/>
      <c r="C185" s="1149"/>
      <c r="D185" s="1508" t="s">
        <v>1561</v>
      </c>
      <c r="E185" s="1509"/>
      <c r="F185" s="1509"/>
      <c r="G185" s="1510"/>
      <c r="H185" s="1116">
        <f>+SUM(H186:H189)</f>
        <v>0</v>
      </c>
      <c r="I185" s="1116">
        <f t="shared" ref="I185:L185" si="78">+SUM(I186:I189)</f>
        <v>0</v>
      </c>
      <c r="J185" s="1116">
        <f t="shared" si="78"/>
        <v>0</v>
      </c>
      <c r="K185" s="1116">
        <f t="shared" si="78"/>
        <v>0</v>
      </c>
      <c r="L185" s="1116">
        <f t="shared" si="78"/>
        <v>0</v>
      </c>
    </row>
    <row r="186" spans="1:12" outlineLevel="1" x14ac:dyDescent="0.2">
      <c r="A186" s="835">
        <v>182</v>
      </c>
      <c r="B186" s="840"/>
      <c r="C186" s="1149"/>
      <c r="D186" s="1531" t="s">
        <v>1562</v>
      </c>
      <c r="E186" s="1532"/>
      <c r="F186" s="1532"/>
      <c r="G186" s="1533"/>
      <c r="H186" s="1120">
        <f>+SUMIF('Sumaria renta 20x3'!G:G,'2516 20x3'!A186,'Sumaria renta 20x3'!C:C)</f>
        <v>0</v>
      </c>
      <c r="I186" s="1118"/>
      <c r="J186" s="842">
        <f t="shared" ref="J186:J189" si="79">+IF((H186&gt;L186),(H186-L186),0)</f>
        <v>0</v>
      </c>
      <c r="K186" s="842">
        <f t="shared" ref="K186:K189" si="80">+IF((H186&lt;L186),(L186-H186),0)</f>
        <v>0</v>
      </c>
      <c r="L186" s="842">
        <f>+SUMIF('Sumaria renta 20x3'!G:G,'2516 20x3'!A186,'Sumaria renta 20x3'!E:E)</f>
        <v>0</v>
      </c>
    </row>
    <row r="187" spans="1:12" outlineLevel="1" x14ac:dyDescent="0.2">
      <c r="A187" s="835">
        <v>183</v>
      </c>
      <c r="B187" s="840"/>
      <c r="C187" s="1149"/>
      <c r="D187" s="1531" t="s">
        <v>1563</v>
      </c>
      <c r="E187" s="1532"/>
      <c r="F187" s="1532"/>
      <c r="G187" s="1533"/>
      <c r="H187" s="1120">
        <f>+SUMIF('Sumaria renta 20x3'!G:G,'2516 20x3'!A187,'Sumaria renta 20x3'!C:C)</f>
        <v>0</v>
      </c>
      <c r="I187" s="1118"/>
      <c r="J187" s="842">
        <f t="shared" si="79"/>
        <v>0</v>
      </c>
      <c r="K187" s="842">
        <f t="shared" si="80"/>
        <v>0</v>
      </c>
      <c r="L187" s="842">
        <f>+SUMIF('Sumaria renta 20x3'!G:G,'2516 20x3'!A187,'Sumaria renta 20x3'!E:E)</f>
        <v>0</v>
      </c>
    </row>
    <row r="188" spans="1:12" outlineLevel="1" x14ac:dyDescent="0.2">
      <c r="A188" s="835">
        <v>184</v>
      </c>
      <c r="B188" s="840"/>
      <c r="C188" s="1149"/>
      <c r="D188" s="1531" t="s">
        <v>1564</v>
      </c>
      <c r="E188" s="1532"/>
      <c r="F188" s="1532"/>
      <c r="G188" s="1533"/>
      <c r="H188" s="1120">
        <f>+SUMIF('Sumaria renta 20x3'!G:G,'2516 20x3'!A188,'Sumaria renta 20x3'!C:C)</f>
        <v>0</v>
      </c>
      <c r="I188" s="1118"/>
      <c r="J188" s="842">
        <f t="shared" si="79"/>
        <v>0</v>
      </c>
      <c r="K188" s="842">
        <f t="shared" si="80"/>
        <v>0</v>
      </c>
      <c r="L188" s="842">
        <f>+SUMIF('Sumaria renta 20x3'!G:G,'2516 20x3'!A188,'Sumaria renta 20x3'!E:E)</f>
        <v>0</v>
      </c>
    </row>
    <row r="189" spans="1:12" outlineLevel="1" x14ac:dyDescent="0.2">
      <c r="A189" s="835">
        <v>185</v>
      </c>
      <c r="B189" s="840"/>
      <c r="C189" s="1149"/>
      <c r="D189" s="1531" t="s">
        <v>1565</v>
      </c>
      <c r="E189" s="1532"/>
      <c r="F189" s="1532"/>
      <c r="G189" s="1533"/>
      <c r="H189" s="1120">
        <f>+SUMIF('Sumaria renta 20x3'!G:G,'2516 20x3'!A189,'Sumaria renta 20x3'!C:C)</f>
        <v>0</v>
      </c>
      <c r="I189" s="1118"/>
      <c r="J189" s="842">
        <f t="shared" si="79"/>
        <v>0</v>
      </c>
      <c r="K189" s="842">
        <f t="shared" si="80"/>
        <v>0</v>
      </c>
      <c r="L189" s="842">
        <f>+SUMIF('Sumaria renta 20x3'!G:G,'2516 20x3'!A189,'Sumaria renta 20x3'!E:E)</f>
        <v>0</v>
      </c>
    </row>
    <row r="190" spans="1:12" outlineLevel="1" x14ac:dyDescent="0.2">
      <c r="A190" s="837"/>
      <c r="B190" s="838"/>
      <c r="C190" s="1149"/>
      <c r="D190" s="1508" t="s">
        <v>1566</v>
      </c>
      <c r="E190" s="1509"/>
      <c r="F190" s="1509"/>
      <c r="G190" s="1510"/>
      <c r="H190" s="1116">
        <f>+SUM(H191:H198)</f>
        <v>0</v>
      </c>
      <c r="I190" s="1116">
        <f t="shared" ref="I190:L190" si="81">+SUM(I191:I198)</f>
        <v>0</v>
      </c>
      <c r="J190" s="1116">
        <f t="shared" si="81"/>
        <v>0</v>
      </c>
      <c r="K190" s="1116">
        <f t="shared" si="81"/>
        <v>0</v>
      </c>
      <c r="L190" s="1116">
        <f t="shared" si="81"/>
        <v>0</v>
      </c>
    </row>
    <row r="191" spans="1:12" outlineLevel="1" x14ac:dyDescent="0.2">
      <c r="A191" s="835">
        <v>187</v>
      </c>
      <c r="B191" s="840"/>
      <c r="C191" s="1149"/>
      <c r="D191" s="1531" t="s">
        <v>1567</v>
      </c>
      <c r="E191" s="1532"/>
      <c r="F191" s="1532"/>
      <c r="G191" s="1533"/>
      <c r="H191" s="1120">
        <f>+SUMIF('Sumaria renta 20x3'!G:G,'2516 20x3'!A191,'Sumaria renta 20x3'!C:C)</f>
        <v>0</v>
      </c>
      <c r="I191" s="1118"/>
      <c r="J191" s="842">
        <f t="shared" ref="J191:J197" si="82">+IF((H191&gt;L191),(H191-L191),0)</f>
        <v>0</v>
      </c>
      <c r="K191" s="842">
        <f t="shared" ref="K191:K197" si="83">+IF((H191&lt;L191),(L191-H191),0)</f>
        <v>0</v>
      </c>
      <c r="L191" s="842">
        <f>+SUMIF('Sumaria renta 20x3'!G:G,'2516 20x3'!A191,'Sumaria renta 20x3'!E:E)</f>
        <v>0</v>
      </c>
    </row>
    <row r="192" spans="1:12" outlineLevel="1" x14ac:dyDescent="0.2">
      <c r="A192" s="835">
        <v>188</v>
      </c>
      <c r="B192" s="840"/>
      <c r="C192" s="1149"/>
      <c r="D192" s="1531" t="s">
        <v>1568</v>
      </c>
      <c r="E192" s="1532"/>
      <c r="F192" s="1532"/>
      <c r="G192" s="1533"/>
      <c r="H192" s="1120">
        <f>+SUMIF('Sumaria renta 20x3'!G:G,'2516 20x3'!A192,'Sumaria renta 20x3'!C:C)</f>
        <v>0</v>
      </c>
      <c r="I192" s="1118"/>
      <c r="J192" s="842">
        <f t="shared" si="82"/>
        <v>0</v>
      </c>
      <c r="K192" s="842">
        <f t="shared" si="83"/>
        <v>0</v>
      </c>
      <c r="L192" s="842">
        <f>+SUMIF('Sumaria renta 20x3'!G:G,'2516 20x3'!A192,'Sumaria renta 20x3'!E:E)</f>
        <v>0</v>
      </c>
    </row>
    <row r="193" spans="1:13" outlineLevel="1" x14ac:dyDescent="0.2">
      <c r="A193" s="835">
        <v>189</v>
      </c>
      <c r="B193" s="840"/>
      <c r="C193" s="1149"/>
      <c r="D193" s="1531" t="s">
        <v>1569</v>
      </c>
      <c r="E193" s="1532"/>
      <c r="F193" s="1532"/>
      <c r="G193" s="1533"/>
      <c r="H193" s="1120">
        <f>+SUMIF('Sumaria renta 20x3'!G:G,'2516 20x3'!A193,'Sumaria renta 20x3'!C:C)</f>
        <v>0</v>
      </c>
      <c r="I193" s="1118"/>
      <c r="J193" s="842">
        <f t="shared" si="82"/>
        <v>0</v>
      </c>
      <c r="K193" s="842">
        <f t="shared" si="83"/>
        <v>0</v>
      </c>
      <c r="L193" s="842">
        <f>+SUMIF('Sumaria renta 20x3'!G:G,'2516 20x3'!A193,'Sumaria renta 20x3'!E:E)</f>
        <v>0</v>
      </c>
    </row>
    <row r="194" spans="1:13" outlineLevel="1" x14ac:dyDescent="0.2">
      <c r="A194" s="835">
        <v>190</v>
      </c>
      <c r="B194" s="840"/>
      <c r="C194" s="1149"/>
      <c r="D194" s="1531" t="s">
        <v>1570</v>
      </c>
      <c r="E194" s="1532"/>
      <c r="F194" s="1532"/>
      <c r="G194" s="1533"/>
      <c r="H194" s="1120">
        <f>+SUMIF('Sumaria renta 20x3'!G:G,'2516 20x3'!A194,'Sumaria renta 20x3'!C:C)</f>
        <v>0</v>
      </c>
      <c r="I194" s="1118"/>
      <c r="J194" s="842">
        <f t="shared" si="82"/>
        <v>0</v>
      </c>
      <c r="K194" s="842">
        <f t="shared" si="83"/>
        <v>0</v>
      </c>
      <c r="L194" s="842">
        <f>+SUMIF('Sumaria renta 20x3'!G:G,'2516 20x3'!A194,'Sumaria renta 20x3'!E:E)</f>
        <v>0</v>
      </c>
    </row>
    <row r="195" spans="1:13" outlineLevel="1" x14ac:dyDescent="0.2">
      <c r="A195" s="835">
        <v>191</v>
      </c>
      <c r="B195" s="840"/>
      <c r="C195" s="1149"/>
      <c r="D195" s="1531" t="s">
        <v>1571</v>
      </c>
      <c r="E195" s="1532"/>
      <c r="F195" s="1532"/>
      <c r="G195" s="1533"/>
      <c r="H195" s="1120">
        <f>+SUMIF('Sumaria renta 20x3'!G:G,'2516 20x3'!A195,'Sumaria renta 20x3'!C:C)</f>
        <v>0</v>
      </c>
      <c r="I195" s="1118"/>
      <c r="J195" s="842">
        <f t="shared" si="82"/>
        <v>0</v>
      </c>
      <c r="K195" s="842">
        <f t="shared" si="83"/>
        <v>0</v>
      </c>
      <c r="L195" s="842">
        <f>+SUMIF('Sumaria renta 20x3'!G:G,'2516 20x3'!A195,'Sumaria renta 20x3'!E:E)</f>
        <v>0</v>
      </c>
    </row>
    <row r="196" spans="1:13" outlineLevel="1" x14ac:dyDescent="0.2">
      <c r="A196" s="835">
        <v>192</v>
      </c>
      <c r="B196" s="840"/>
      <c r="C196" s="1149"/>
      <c r="D196" s="1531" t="s">
        <v>1572</v>
      </c>
      <c r="E196" s="1532"/>
      <c r="F196" s="1532"/>
      <c r="G196" s="1533"/>
      <c r="H196" s="1120">
        <f>+SUMIF('Sumaria renta 20x3'!G:G,'2516 20x3'!A196,'Sumaria renta 20x3'!C:C)</f>
        <v>0</v>
      </c>
      <c r="I196" s="1118"/>
      <c r="J196" s="842">
        <f t="shared" si="82"/>
        <v>0</v>
      </c>
      <c r="K196" s="842">
        <f t="shared" si="83"/>
        <v>0</v>
      </c>
      <c r="L196" s="842">
        <f>+SUMIF('Sumaria renta 20x3'!G:G,'2516 20x3'!A196,'Sumaria renta 20x3'!E:E)</f>
        <v>0</v>
      </c>
    </row>
    <row r="197" spans="1:13" outlineLevel="1" x14ac:dyDescent="0.2">
      <c r="A197" s="835">
        <v>193</v>
      </c>
      <c r="B197" s="840"/>
      <c r="C197" s="1149"/>
      <c r="D197" s="1531" t="s">
        <v>1566</v>
      </c>
      <c r="E197" s="1532"/>
      <c r="F197" s="1532"/>
      <c r="G197" s="1533"/>
      <c r="H197" s="1120">
        <f>+SUMIF('Sumaria renta 20x3'!G:G,'2516 20x3'!A197,'Sumaria renta 20x3'!C:C)</f>
        <v>0</v>
      </c>
      <c r="I197" s="1118"/>
      <c r="J197" s="842">
        <f t="shared" si="82"/>
        <v>0</v>
      </c>
      <c r="K197" s="842">
        <f t="shared" si="83"/>
        <v>0</v>
      </c>
      <c r="L197" s="842">
        <f>+SUMIF('Sumaria renta 20x3'!G:G,'2516 20x3'!A197,'Sumaria renta 20x3'!E:E)</f>
        <v>0</v>
      </c>
    </row>
    <row r="198" spans="1:13" outlineLevel="1" x14ac:dyDescent="0.2">
      <c r="A198" s="849">
        <v>194</v>
      </c>
      <c r="B198" s="840"/>
      <c r="C198" s="1149"/>
      <c r="D198" s="1531" t="s">
        <v>1573</v>
      </c>
      <c r="E198" s="1532"/>
      <c r="F198" s="1532"/>
      <c r="G198" s="1533"/>
      <c r="H198" s="844"/>
      <c r="I198" s="844"/>
      <c r="J198" s="844"/>
      <c r="K198" s="842">
        <f t="shared" ref="K198" si="84">+IF((H198&gt;L198),(L198-H198),0)</f>
        <v>0</v>
      </c>
      <c r="L198" s="842">
        <f>+SUMIF('Sumaria renta 20x3'!G:G,'2516 20x3'!A198,'Sumaria renta 20x3'!E:E)</f>
        <v>0</v>
      </c>
      <c r="M198" s="365">
        <f>+H199-'Sumaria contabilidad'!C68</f>
        <v>-4945291097.6661339</v>
      </c>
    </row>
    <row r="199" spans="1:13" outlineLevel="1" x14ac:dyDescent="0.2">
      <c r="A199" s="837"/>
      <c r="B199" s="838"/>
      <c r="C199" s="1149"/>
      <c r="D199" s="1508" t="s">
        <v>1574</v>
      </c>
      <c r="E199" s="1509"/>
      <c r="F199" s="1509"/>
      <c r="G199" s="1510"/>
      <c r="H199" s="1126">
        <f>+H190+H185+H173+H168+H167+H163+H157+H153+H140</f>
        <v>0</v>
      </c>
      <c r="I199" s="1126">
        <f t="shared" ref="I199:L199" si="85">+I190+I185+I173+I168+I167+I163+I157+I153+I140</f>
        <v>0</v>
      </c>
      <c r="J199" s="1126">
        <f t="shared" si="85"/>
        <v>0</v>
      </c>
      <c r="K199" s="1126">
        <f t="shared" si="85"/>
        <v>0</v>
      </c>
      <c r="L199" s="1126">
        <f t="shared" si="85"/>
        <v>0</v>
      </c>
      <c r="M199" s="1161">
        <f>+L199-'110 Renta 20x3'!Q33</f>
        <v>0</v>
      </c>
    </row>
    <row r="200" spans="1:13" outlineLevel="1" x14ac:dyDescent="0.2">
      <c r="A200" s="837"/>
      <c r="B200" s="840"/>
      <c r="D200" s="1508" t="s">
        <v>1575</v>
      </c>
      <c r="E200" s="1509"/>
      <c r="F200" s="1509"/>
      <c r="G200" s="1510"/>
      <c r="H200" s="1162">
        <f>+H138-H199</f>
        <v>0</v>
      </c>
      <c r="I200" s="1162">
        <f t="shared" ref="I200:L200" si="86">+I138-I199</f>
        <v>0</v>
      </c>
      <c r="J200" s="1162">
        <f t="shared" si="86"/>
        <v>0</v>
      </c>
      <c r="K200" s="1162">
        <f t="shared" si="86"/>
        <v>0</v>
      </c>
      <c r="L200" s="1162">
        <f t="shared" si="86"/>
        <v>0</v>
      </c>
      <c r="M200" s="1161">
        <f>+L200-'110 Renta 20x3'!Q34</f>
        <v>0</v>
      </c>
    </row>
    <row r="201" spans="1:13" ht="38.25" outlineLevel="1" x14ac:dyDescent="0.2">
      <c r="A201" s="837"/>
      <c r="B201" s="838"/>
      <c r="D201" s="1505" t="s">
        <v>1576</v>
      </c>
      <c r="E201" s="1506"/>
      <c r="F201" s="1506"/>
      <c r="G201" s="1507"/>
      <c r="H201" s="1163" t="s">
        <v>1407</v>
      </c>
      <c r="I201" s="1164" t="s">
        <v>1577</v>
      </c>
      <c r="J201" s="850"/>
      <c r="K201" s="850"/>
      <c r="L201" s="851"/>
    </row>
    <row r="202" spans="1:13" outlineLevel="1" x14ac:dyDescent="0.2">
      <c r="A202" s="848">
        <v>199</v>
      </c>
      <c r="B202" s="838"/>
      <c r="C202" s="852"/>
      <c r="D202" s="1508" t="s">
        <v>1578</v>
      </c>
      <c r="E202" s="1509"/>
      <c r="F202" s="1509"/>
      <c r="G202" s="1510"/>
      <c r="H202" s="1133">
        <f>+SUM(H203:H218)</f>
        <v>0</v>
      </c>
      <c r="I202" s="1133">
        <f>+SUM(I203:I218)</f>
        <v>0</v>
      </c>
      <c r="J202" s="853"/>
      <c r="K202" s="853"/>
      <c r="L202" s="853"/>
    </row>
    <row r="203" spans="1:13" outlineLevel="1" x14ac:dyDescent="0.2">
      <c r="A203" s="835">
        <v>200</v>
      </c>
      <c r="B203" s="840"/>
      <c r="C203" s="1150"/>
      <c r="D203" s="1531" t="s">
        <v>1579</v>
      </c>
      <c r="E203" s="1532"/>
      <c r="F203" s="1532"/>
      <c r="G203" s="1533"/>
      <c r="H203" s="1120">
        <f>+SUMIF('Sumaria renta 20x3'!G:G,'2516 20x3'!A203,'Sumaria renta 20x3'!C:C)</f>
        <v>0</v>
      </c>
      <c r="I203" s="843"/>
      <c r="J203" s="853"/>
      <c r="K203" s="853"/>
      <c r="L203" s="853"/>
    </row>
    <row r="204" spans="1:13" outlineLevel="1" x14ac:dyDescent="0.2">
      <c r="A204" s="835">
        <v>201</v>
      </c>
      <c r="B204" s="840"/>
      <c r="C204" s="1150"/>
      <c r="D204" s="1531" t="s">
        <v>1580</v>
      </c>
      <c r="E204" s="1532"/>
      <c r="F204" s="1532"/>
      <c r="G204" s="1533"/>
      <c r="H204" s="1120">
        <f>+SUMIF('Sumaria renta 20x3'!G:G,'2516 20x3'!A204,'Sumaria renta 20x3'!C:C)</f>
        <v>0</v>
      </c>
      <c r="I204" s="843"/>
      <c r="J204" s="853"/>
      <c r="K204" s="853"/>
      <c r="L204" s="853"/>
    </row>
    <row r="205" spans="1:13" outlineLevel="1" x14ac:dyDescent="0.2">
      <c r="A205" s="835">
        <v>202</v>
      </c>
      <c r="B205" s="840"/>
      <c r="C205" s="1150"/>
      <c r="D205" s="1531" t="s">
        <v>1581</v>
      </c>
      <c r="E205" s="1532"/>
      <c r="F205" s="1532"/>
      <c r="G205" s="1533"/>
      <c r="H205" s="1120">
        <f>+SUMIF('Sumaria renta 20x3'!G:G,'2516 20x3'!A205,'Sumaria renta 20x3'!C:C)</f>
        <v>0</v>
      </c>
      <c r="I205" s="843"/>
      <c r="J205" s="853"/>
      <c r="K205" s="853"/>
      <c r="L205" s="853"/>
    </row>
    <row r="206" spans="1:13" outlineLevel="1" x14ac:dyDescent="0.2">
      <c r="A206" s="835">
        <v>203</v>
      </c>
      <c r="B206" s="840"/>
      <c r="C206" s="1150"/>
      <c r="D206" s="1531" t="s">
        <v>1582</v>
      </c>
      <c r="E206" s="1532"/>
      <c r="F206" s="1532"/>
      <c r="G206" s="1533"/>
      <c r="H206" s="1120">
        <f>+SUMIF('Sumaria renta 20x3'!G:G,'2516 20x3'!A206,'Sumaria renta 20x3'!C:C)</f>
        <v>0</v>
      </c>
      <c r="I206" s="843"/>
      <c r="J206" s="853"/>
      <c r="K206" s="853"/>
      <c r="L206" s="853"/>
    </row>
    <row r="207" spans="1:13" outlineLevel="1" x14ac:dyDescent="0.2">
      <c r="A207" s="835">
        <v>204</v>
      </c>
      <c r="B207" s="840"/>
      <c r="C207" s="1150"/>
      <c r="D207" s="1531" t="s">
        <v>1583</v>
      </c>
      <c r="E207" s="1532"/>
      <c r="F207" s="1532"/>
      <c r="G207" s="1533"/>
      <c r="H207" s="1120">
        <f>+SUMIF('Sumaria renta 20x3'!G:G,'2516 20x3'!A207,'Sumaria renta 20x3'!C:C)</f>
        <v>0</v>
      </c>
      <c r="I207" s="843"/>
      <c r="J207" s="853"/>
      <c r="K207" s="853"/>
      <c r="L207" s="853"/>
    </row>
    <row r="208" spans="1:13" outlineLevel="1" x14ac:dyDescent="0.2">
      <c r="A208" s="835">
        <v>205</v>
      </c>
      <c r="B208" s="840"/>
      <c r="C208" s="1150"/>
      <c r="D208" s="1531" t="s">
        <v>1584</v>
      </c>
      <c r="E208" s="1532"/>
      <c r="F208" s="1532"/>
      <c r="G208" s="1533"/>
      <c r="H208" s="1120">
        <f>+SUMIF('Sumaria renta 20x3'!G:G,'2516 20x3'!A208,'Sumaria renta 20x3'!C:C)</f>
        <v>0</v>
      </c>
      <c r="I208" s="843"/>
      <c r="J208" s="853"/>
      <c r="K208" s="853"/>
      <c r="L208" s="853"/>
    </row>
    <row r="209" spans="1:12" outlineLevel="1" x14ac:dyDescent="0.2">
      <c r="A209" s="835">
        <v>206</v>
      </c>
      <c r="B209" s="840"/>
      <c r="C209" s="1150"/>
      <c r="D209" s="1531" t="s">
        <v>1585</v>
      </c>
      <c r="E209" s="1532"/>
      <c r="F209" s="1532"/>
      <c r="G209" s="1533"/>
      <c r="H209" s="1120">
        <f>+SUMIF('Sumaria renta 20x3'!G:G,'2516 20x3'!A209,'Sumaria renta 20x3'!C:C)</f>
        <v>0</v>
      </c>
      <c r="I209" s="843"/>
      <c r="J209" s="853"/>
      <c r="K209" s="853"/>
      <c r="L209" s="853"/>
    </row>
    <row r="210" spans="1:12" outlineLevel="1" x14ac:dyDescent="0.2">
      <c r="A210" s="835">
        <v>207</v>
      </c>
      <c r="B210" s="840"/>
      <c r="C210" s="1150"/>
      <c r="D210" s="1531" t="s">
        <v>1586</v>
      </c>
      <c r="E210" s="1532"/>
      <c r="F210" s="1532"/>
      <c r="G210" s="1533"/>
      <c r="H210" s="1120">
        <f>+SUMIF('Sumaria renta 20x3'!G:G,'2516 20x3'!A210,'Sumaria renta 20x3'!C:C)</f>
        <v>0</v>
      </c>
      <c r="I210" s="843"/>
      <c r="J210" s="853"/>
      <c r="K210" s="853"/>
      <c r="L210" s="853"/>
    </row>
    <row r="211" spans="1:12" outlineLevel="1" x14ac:dyDescent="0.2">
      <c r="A211" s="835">
        <v>208</v>
      </c>
      <c r="B211" s="840"/>
      <c r="C211" s="1150"/>
      <c r="D211" s="1531" t="s">
        <v>1587</v>
      </c>
      <c r="E211" s="1532"/>
      <c r="F211" s="1532"/>
      <c r="G211" s="1533"/>
      <c r="H211" s="1120">
        <f>+SUMIF('Sumaria renta 20x3'!G:G,'2516 20x3'!A211,'Sumaria renta 20x3'!C:C)</f>
        <v>0</v>
      </c>
      <c r="I211" s="843"/>
      <c r="J211" s="853"/>
      <c r="K211" s="853"/>
      <c r="L211" s="853"/>
    </row>
    <row r="212" spans="1:12" outlineLevel="1" x14ac:dyDescent="0.2">
      <c r="A212" s="835">
        <v>209</v>
      </c>
      <c r="B212" s="840"/>
      <c r="C212" s="1150"/>
      <c r="D212" s="1531" t="s">
        <v>1588</v>
      </c>
      <c r="E212" s="1532"/>
      <c r="F212" s="1532"/>
      <c r="G212" s="1533"/>
      <c r="H212" s="1120">
        <f>+SUMIF('Sumaria renta 20x3'!G:G,'2516 20x3'!A212,'Sumaria renta 20x3'!C:C)</f>
        <v>0</v>
      </c>
      <c r="I212" s="843"/>
      <c r="J212" s="853"/>
      <c r="K212" s="853"/>
      <c r="L212" s="853"/>
    </row>
    <row r="213" spans="1:12" outlineLevel="1" x14ac:dyDescent="0.2">
      <c r="A213" s="835">
        <v>210</v>
      </c>
      <c r="B213" s="840"/>
      <c r="C213" s="1150"/>
      <c r="D213" s="1531" t="s">
        <v>1589</v>
      </c>
      <c r="E213" s="1532"/>
      <c r="F213" s="1532"/>
      <c r="G213" s="1533"/>
      <c r="H213" s="1120">
        <f>+SUMIF('Sumaria renta 20x3'!G:G,'2516 20x3'!A213,'Sumaria renta 20x3'!C:C)</f>
        <v>0</v>
      </c>
      <c r="I213" s="843"/>
      <c r="J213" s="853"/>
      <c r="K213" s="853"/>
      <c r="L213" s="853"/>
    </row>
    <row r="214" spans="1:12" outlineLevel="1" x14ac:dyDescent="0.2">
      <c r="A214" s="835">
        <v>211</v>
      </c>
      <c r="B214" s="840"/>
      <c r="C214" s="1150"/>
      <c r="D214" s="1531" t="s">
        <v>1590</v>
      </c>
      <c r="E214" s="1532"/>
      <c r="F214" s="1532"/>
      <c r="G214" s="1533"/>
      <c r="H214" s="1120">
        <f>+SUMIF('Sumaria renta 20x3'!G:G,'2516 20x3'!A214,'Sumaria renta 20x3'!C:C)</f>
        <v>0</v>
      </c>
      <c r="I214" s="843"/>
      <c r="J214" s="853"/>
      <c r="K214" s="853"/>
      <c r="L214" s="853"/>
    </row>
    <row r="215" spans="1:12" outlineLevel="1" x14ac:dyDescent="0.2">
      <c r="A215" s="835">
        <v>212</v>
      </c>
      <c r="B215" s="840"/>
      <c r="C215" s="1150"/>
      <c r="D215" s="1531" t="s">
        <v>1591</v>
      </c>
      <c r="E215" s="1532"/>
      <c r="F215" s="1532"/>
      <c r="G215" s="1533"/>
      <c r="H215" s="1120">
        <f>+SUMIF('Sumaria renta 20x3'!G:G,'2516 20x3'!A215,'Sumaria renta 20x3'!C:C)</f>
        <v>0</v>
      </c>
      <c r="I215" s="843"/>
      <c r="J215" s="853"/>
      <c r="K215" s="853"/>
      <c r="L215" s="853"/>
    </row>
    <row r="216" spans="1:12" outlineLevel="1" x14ac:dyDescent="0.2">
      <c r="A216" s="849">
        <v>213</v>
      </c>
      <c r="B216" s="840"/>
      <c r="C216" s="1150"/>
      <c r="D216" s="1531" t="s">
        <v>1592</v>
      </c>
      <c r="E216" s="1532"/>
      <c r="F216" s="1532"/>
      <c r="G216" s="1533"/>
      <c r="H216" s="1120">
        <f>+SUMIF('Sumaria renta 20x3'!G:G,'2516 20x3'!A216,'Sumaria renta 20x3'!C:C)</f>
        <v>0</v>
      </c>
      <c r="I216" s="843"/>
      <c r="J216" s="853"/>
      <c r="K216" s="853"/>
      <c r="L216" s="853"/>
    </row>
    <row r="217" spans="1:12" outlineLevel="1" x14ac:dyDescent="0.2">
      <c r="A217" s="849">
        <v>214</v>
      </c>
      <c r="B217" s="840"/>
      <c r="C217" s="1150"/>
      <c r="D217" s="1531" t="s">
        <v>1593</v>
      </c>
      <c r="E217" s="1532"/>
      <c r="F217" s="1532"/>
      <c r="G217" s="1533"/>
      <c r="H217" s="1120">
        <f>+SUMIF('Sumaria renta 20x3'!G:G,'2516 20x3'!A217,'Sumaria renta 20x3'!C:C)</f>
        <v>0</v>
      </c>
      <c r="I217" s="843"/>
      <c r="J217" s="853"/>
      <c r="K217" s="853"/>
      <c r="L217" s="853"/>
    </row>
    <row r="218" spans="1:12" outlineLevel="1" x14ac:dyDescent="0.2">
      <c r="A218" s="835">
        <v>219</v>
      </c>
      <c r="B218" s="840"/>
      <c r="C218" s="1150"/>
      <c r="D218" s="1531" t="s">
        <v>1594</v>
      </c>
      <c r="E218" s="1532"/>
      <c r="F218" s="1532"/>
      <c r="G218" s="1533"/>
      <c r="H218" s="1120">
        <f>+SUMIF('Sumaria renta 20x3'!G:G,'2516 20x3'!A218,'Sumaria renta 20x3'!C:C)</f>
        <v>0</v>
      </c>
      <c r="I218" s="843"/>
      <c r="J218" s="853"/>
      <c r="K218" s="853"/>
      <c r="L218" s="853"/>
    </row>
    <row r="219" spans="1:12" outlineLevel="1" x14ac:dyDescent="0.2">
      <c r="A219" s="854">
        <v>219</v>
      </c>
      <c r="B219" s="838"/>
      <c r="C219" s="1150"/>
      <c r="D219" s="1508" t="s">
        <v>504</v>
      </c>
      <c r="E219" s="1509"/>
      <c r="F219" s="1509"/>
      <c r="G219" s="1510"/>
      <c r="H219" s="1116">
        <f>+SUM(H220:H223)</f>
        <v>0</v>
      </c>
      <c r="I219" s="1116">
        <f>+SUM(I220:I223)</f>
        <v>0</v>
      </c>
      <c r="J219" s="853"/>
      <c r="K219" s="853"/>
      <c r="L219" s="853"/>
    </row>
    <row r="220" spans="1:12" ht="24.75" customHeight="1" outlineLevel="1" x14ac:dyDescent="0.2">
      <c r="A220" s="835">
        <v>215</v>
      </c>
      <c r="B220" s="840"/>
      <c r="C220" s="1150"/>
      <c r="D220" s="1531" t="s">
        <v>2054</v>
      </c>
      <c r="E220" s="1532"/>
      <c r="F220" s="1532"/>
      <c r="G220" s="1533"/>
      <c r="H220" s="1120">
        <f>+SUMIF('Sumaria renta 20x3'!G:G,'2516 20x3'!A220,'Sumaria renta 20x3'!C:C)</f>
        <v>0</v>
      </c>
      <c r="I220" s="843"/>
      <c r="J220" s="853"/>
      <c r="K220" s="853"/>
      <c r="L220" s="853"/>
    </row>
    <row r="221" spans="1:12" ht="24.75" customHeight="1" outlineLevel="1" x14ac:dyDescent="0.2">
      <c r="A221" s="835">
        <v>216</v>
      </c>
      <c r="B221" s="840"/>
      <c r="C221" s="1150"/>
      <c r="D221" s="1531" t="s">
        <v>2055</v>
      </c>
      <c r="E221" s="1532"/>
      <c r="F221" s="1532"/>
      <c r="G221" s="1533"/>
      <c r="H221" s="1120">
        <f>+SUMIF('Sumaria renta 20x3'!G:G,'2516 20x3'!A221,'Sumaria renta 20x3'!C:C)</f>
        <v>0</v>
      </c>
      <c r="I221" s="843"/>
      <c r="J221" s="853"/>
      <c r="K221" s="853"/>
      <c r="L221" s="853"/>
    </row>
    <row r="222" spans="1:12" outlineLevel="1" x14ac:dyDescent="0.2">
      <c r="A222" s="835">
        <v>217</v>
      </c>
      <c r="B222" s="840"/>
      <c r="C222" s="1150"/>
      <c r="D222" s="1531" t="s">
        <v>2056</v>
      </c>
      <c r="E222" s="1532"/>
      <c r="F222" s="1532"/>
      <c r="G222" s="1533"/>
      <c r="H222" s="1120">
        <f>+SUMIF('Sumaria renta 20x3'!G:G,'2516 20x3'!A222,'Sumaria renta 20x3'!C:C)</f>
        <v>0</v>
      </c>
      <c r="I222" s="843"/>
      <c r="J222" s="853"/>
      <c r="K222" s="853"/>
      <c r="L222" s="853"/>
    </row>
    <row r="223" spans="1:12" outlineLevel="1" x14ac:dyDescent="0.2">
      <c r="A223" s="835">
        <v>218</v>
      </c>
      <c r="B223" s="840"/>
      <c r="C223" s="1150"/>
      <c r="D223" s="1531" t="s">
        <v>2057</v>
      </c>
      <c r="E223" s="1532"/>
      <c r="F223" s="1532"/>
      <c r="G223" s="1533"/>
      <c r="H223" s="1120">
        <f>+SUMIF('Sumaria renta 20x3'!G:G,'2516 20x3'!A223,'Sumaria renta 20x3'!C:C)</f>
        <v>0</v>
      </c>
      <c r="I223" s="843"/>
      <c r="J223" s="853"/>
      <c r="K223" s="853"/>
      <c r="L223" s="853"/>
    </row>
    <row r="224" spans="1:12" outlineLevel="1" x14ac:dyDescent="0.2">
      <c r="A224" s="837"/>
      <c r="B224" s="838"/>
      <c r="C224" s="1150"/>
      <c r="D224" s="1508" t="s">
        <v>1595</v>
      </c>
      <c r="E224" s="1509"/>
      <c r="F224" s="1509"/>
      <c r="G224" s="1510"/>
      <c r="H224" s="1116">
        <f>+SUM(H225:H231)</f>
        <v>0</v>
      </c>
      <c r="I224" s="1116">
        <f>+SUM(I225:I231)</f>
        <v>0</v>
      </c>
      <c r="J224" s="853"/>
      <c r="K224" s="853"/>
      <c r="L224" s="853"/>
    </row>
    <row r="225" spans="1:13" ht="27.75" customHeight="1" outlineLevel="1" x14ac:dyDescent="0.2">
      <c r="A225" s="835">
        <v>220</v>
      </c>
      <c r="B225" s="840"/>
      <c r="C225" s="1150"/>
      <c r="D225" s="1531" t="s">
        <v>1596</v>
      </c>
      <c r="E225" s="1532"/>
      <c r="F225" s="1532"/>
      <c r="G225" s="1533"/>
      <c r="H225" s="1120">
        <f>+SUMIF('Sumaria renta 20x3'!G:G,'2516 20x3'!A225,'Sumaria renta 20x3'!C:C)</f>
        <v>0</v>
      </c>
      <c r="I225" s="843"/>
      <c r="J225" s="853"/>
      <c r="K225" s="853"/>
      <c r="L225" s="853"/>
    </row>
    <row r="226" spans="1:13" ht="26.25" customHeight="1" outlineLevel="1" x14ac:dyDescent="0.2">
      <c r="A226" s="835">
        <v>221</v>
      </c>
      <c r="B226" s="840"/>
      <c r="C226" s="1150"/>
      <c r="D226" s="1531" t="s">
        <v>1597</v>
      </c>
      <c r="E226" s="1532"/>
      <c r="F226" s="1532"/>
      <c r="G226" s="1533"/>
      <c r="H226" s="1120">
        <f>+SUMIF('Sumaria renta 20x3'!G:G,'2516 20x3'!A226,'Sumaria renta 20x3'!C:C)</f>
        <v>0</v>
      </c>
      <c r="I226" s="843"/>
      <c r="J226" s="853"/>
      <c r="K226" s="853"/>
      <c r="L226" s="853"/>
    </row>
    <row r="227" spans="1:13" ht="22.5" customHeight="1" outlineLevel="1" x14ac:dyDescent="0.2">
      <c r="A227" s="835">
        <v>222</v>
      </c>
      <c r="B227" s="840"/>
      <c r="C227" s="1150"/>
      <c r="D227" s="1531" t="s">
        <v>1598</v>
      </c>
      <c r="E227" s="1532"/>
      <c r="F227" s="1532"/>
      <c r="G227" s="1533"/>
      <c r="H227" s="1120">
        <f>+SUMIF('Sumaria renta 20x3'!G:G,'2516 20x3'!A227,'Sumaria renta 20x3'!C:C)</f>
        <v>0</v>
      </c>
      <c r="I227" s="843"/>
      <c r="J227" s="853"/>
      <c r="K227" s="853"/>
      <c r="L227" s="853"/>
    </row>
    <row r="228" spans="1:13" ht="24" customHeight="1" outlineLevel="1" x14ac:dyDescent="0.2">
      <c r="A228" s="835">
        <v>223</v>
      </c>
      <c r="B228" s="840"/>
      <c r="C228" s="1150"/>
      <c r="D228" s="1531" t="s">
        <v>1599</v>
      </c>
      <c r="E228" s="1532"/>
      <c r="F228" s="1532"/>
      <c r="G228" s="1533"/>
      <c r="H228" s="1120">
        <f>+SUMIF('Sumaria renta 20x3'!G:G,'2516 20x3'!A228,'Sumaria renta 20x3'!C:C)</f>
        <v>0</v>
      </c>
      <c r="I228" s="843"/>
      <c r="J228" s="853"/>
      <c r="K228" s="853"/>
      <c r="L228" s="853"/>
    </row>
    <row r="229" spans="1:13" outlineLevel="1" x14ac:dyDescent="0.2">
      <c r="A229" s="835">
        <v>224</v>
      </c>
      <c r="B229" s="840"/>
      <c r="C229" s="1150"/>
      <c r="D229" s="1531" t="s">
        <v>1600</v>
      </c>
      <c r="E229" s="1532"/>
      <c r="F229" s="1532"/>
      <c r="G229" s="1533"/>
      <c r="H229" s="1120">
        <f>+SUMIF('Sumaria renta 20x3'!G:G,'2516 20x3'!A229,'Sumaria renta 20x3'!C:C)</f>
        <v>0</v>
      </c>
      <c r="I229" s="843"/>
      <c r="J229" s="853"/>
      <c r="K229" s="853"/>
      <c r="L229" s="853"/>
    </row>
    <row r="230" spans="1:13" ht="24.75" customHeight="1" outlineLevel="1" x14ac:dyDescent="0.2">
      <c r="A230" s="835">
        <v>225</v>
      </c>
      <c r="B230" s="840"/>
      <c r="C230" s="1150"/>
      <c r="D230" s="1531" t="s">
        <v>1601</v>
      </c>
      <c r="E230" s="1532"/>
      <c r="F230" s="1532"/>
      <c r="G230" s="1533"/>
      <c r="H230" s="1120">
        <f>+SUMIF('Sumaria renta 20x3'!G:G,'2516 20x3'!A230,'Sumaria renta 20x3'!C:C)</f>
        <v>0</v>
      </c>
      <c r="I230" s="843"/>
      <c r="J230" s="853"/>
      <c r="K230" s="853"/>
      <c r="L230" s="853"/>
    </row>
    <row r="231" spans="1:13" outlineLevel="1" x14ac:dyDescent="0.2">
      <c r="A231" s="835">
        <v>226</v>
      </c>
      <c r="B231" s="840"/>
      <c r="C231" s="1150"/>
      <c r="D231" s="1531" t="s">
        <v>1602</v>
      </c>
      <c r="E231" s="1532"/>
      <c r="F231" s="1532"/>
      <c r="G231" s="1533"/>
      <c r="H231" s="1120">
        <f>+SUMIF('Sumaria renta 20x3'!G:G,'2516 20x3'!A231,'Sumaria renta 20x3'!C:C)</f>
        <v>0</v>
      </c>
      <c r="I231" s="843"/>
      <c r="J231" s="853"/>
      <c r="K231" s="853"/>
      <c r="L231" s="853"/>
    </row>
    <row r="232" spans="1:13" ht="22.5" customHeight="1" outlineLevel="1" x14ac:dyDescent="0.2">
      <c r="A232" s="837"/>
      <c r="B232" s="838"/>
      <c r="C232" s="1150"/>
      <c r="D232" s="1508" t="s">
        <v>1603</v>
      </c>
      <c r="E232" s="1509"/>
      <c r="F232" s="1509"/>
      <c r="G232" s="1510"/>
      <c r="H232" s="1116">
        <f>+SUM(H233:H234)</f>
        <v>0</v>
      </c>
      <c r="I232" s="1116">
        <f>+SUM(I233:I234)</f>
        <v>0</v>
      </c>
      <c r="J232" s="853"/>
      <c r="K232" s="853"/>
      <c r="L232" s="853"/>
    </row>
    <row r="233" spans="1:13" outlineLevel="1" x14ac:dyDescent="0.2">
      <c r="A233" s="835">
        <v>228</v>
      </c>
      <c r="B233" s="840"/>
      <c r="C233" s="1150"/>
      <c r="D233" s="1531" t="s">
        <v>1604</v>
      </c>
      <c r="E233" s="1532"/>
      <c r="F233" s="1532"/>
      <c r="G233" s="1533"/>
      <c r="H233" s="1120">
        <f>+SUMIF('Sumaria renta 20x3'!G:G,'2516 20x3'!A233,'Sumaria renta 20x3'!C:C)</f>
        <v>0</v>
      </c>
      <c r="I233" s="843"/>
      <c r="J233" s="853"/>
      <c r="K233" s="853"/>
      <c r="L233" s="853"/>
    </row>
    <row r="234" spans="1:13" outlineLevel="1" x14ac:dyDescent="0.2">
      <c r="A234" s="835">
        <v>229</v>
      </c>
      <c r="B234" s="840"/>
      <c r="C234" s="1150"/>
      <c r="D234" s="1531" t="s">
        <v>1605</v>
      </c>
      <c r="E234" s="1532"/>
      <c r="F234" s="1532"/>
      <c r="G234" s="1533"/>
      <c r="H234" s="1120">
        <f>+SUMIF('Sumaria renta 20x3'!G:G,'2516 20x3'!A234,'Sumaria renta 20x3'!C:C)</f>
        <v>0</v>
      </c>
      <c r="I234" s="843"/>
      <c r="J234" s="853"/>
      <c r="K234" s="853"/>
      <c r="L234" s="853"/>
    </row>
    <row r="235" spans="1:13" outlineLevel="1" x14ac:dyDescent="0.2">
      <c r="A235" s="837"/>
      <c r="B235" s="838"/>
      <c r="C235" s="1150"/>
      <c r="D235" s="1508" t="s">
        <v>1606</v>
      </c>
      <c r="E235" s="1509"/>
      <c r="F235" s="1509"/>
      <c r="G235" s="1510"/>
      <c r="H235" s="1134">
        <f>+SUM(H236:H239)</f>
        <v>0</v>
      </c>
      <c r="I235" s="1134">
        <f>+SUM(I236:I239)</f>
        <v>0</v>
      </c>
      <c r="J235" s="853"/>
      <c r="K235" s="853"/>
      <c r="L235" s="855"/>
    </row>
    <row r="236" spans="1:13" outlineLevel="1" x14ac:dyDescent="0.2">
      <c r="A236" s="835">
        <v>233</v>
      </c>
      <c r="B236" s="840"/>
      <c r="C236" s="1150"/>
      <c r="D236" s="1531" t="s">
        <v>1607</v>
      </c>
      <c r="E236" s="1532"/>
      <c r="F236" s="1532"/>
      <c r="G236" s="1533"/>
      <c r="H236" s="842">
        <v>0</v>
      </c>
      <c r="I236" s="856"/>
      <c r="J236" s="853"/>
      <c r="K236" s="853"/>
      <c r="L236" s="855"/>
    </row>
    <row r="237" spans="1:13" outlineLevel="1" x14ac:dyDescent="0.2">
      <c r="A237" s="835">
        <v>234</v>
      </c>
      <c r="B237" s="840"/>
      <c r="C237" s="1150"/>
      <c r="D237" s="1531" t="s">
        <v>1608</v>
      </c>
      <c r="E237" s="1532"/>
      <c r="F237" s="1532"/>
      <c r="G237" s="1533"/>
      <c r="H237" s="842">
        <v>0</v>
      </c>
      <c r="I237" s="856"/>
      <c r="J237" s="853"/>
      <c r="K237" s="853"/>
      <c r="L237" s="855"/>
    </row>
    <row r="238" spans="1:13" outlineLevel="1" x14ac:dyDescent="0.2">
      <c r="A238" s="835">
        <v>231</v>
      </c>
      <c r="B238" s="840"/>
      <c r="C238" s="1150"/>
      <c r="D238" s="1531" t="s">
        <v>1609</v>
      </c>
      <c r="E238" s="1532"/>
      <c r="F238" s="1532"/>
      <c r="G238" s="1533"/>
      <c r="H238" s="842">
        <v>0</v>
      </c>
      <c r="I238" s="856"/>
      <c r="J238" s="853"/>
      <c r="K238" s="853"/>
      <c r="L238" s="853"/>
    </row>
    <row r="239" spans="1:13" outlineLevel="1" x14ac:dyDescent="0.2">
      <c r="A239" s="835">
        <v>232</v>
      </c>
      <c r="B239" s="840"/>
      <c r="C239" s="1150"/>
      <c r="D239" s="1531" t="s">
        <v>1610</v>
      </c>
      <c r="E239" s="1532"/>
      <c r="F239" s="1532"/>
      <c r="G239" s="1533"/>
      <c r="H239" s="842">
        <v>0</v>
      </c>
      <c r="I239" s="856"/>
      <c r="J239" s="857" t="s">
        <v>1302</v>
      </c>
      <c r="K239" s="853"/>
      <c r="L239" s="853"/>
    </row>
    <row r="240" spans="1:13" outlineLevel="1" x14ac:dyDescent="0.2">
      <c r="A240" s="835"/>
      <c r="B240" s="840"/>
      <c r="C240" s="1150"/>
      <c r="D240" s="1517" t="s">
        <v>1611</v>
      </c>
      <c r="E240" s="1518"/>
      <c r="F240" s="1518"/>
      <c r="G240" s="1519"/>
      <c r="H240" s="1135">
        <f>+H235+H232+H224+H219+H202</f>
        <v>0</v>
      </c>
      <c r="I240" s="1135">
        <f>+I235+I232+I224+I219+I202</f>
        <v>0</v>
      </c>
      <c r="J240" s="858" t="s">
        <v>1302</v>
      </c>
      <c r="K240" s="853"/>
      <c r="L240" s="859">
        <v>0</v>
      </c>
      <c r="M240" s="1161">
        <f>+H240-H200</f>
        <v>0</v>
      </c>
    </row>
    <row r="241" spans="1:12" ht="38.25" customHeight="1" outlineLevel="1" x14ac:dyDescent="0.2">
      <c r="A241" s="835"/>
      <c r="B241" s="840"/>
      <c r="C241" s="1502" t="s">
        <v>1360</v>
      </c>
      <c r="D241" s="1503"/>
      <c r="E241" s="1503"/>
      <c r="F241" s="1503"/>
      <c r="G241" s="1504"/>
      <c r="H241" s="860" t="s">
        <v>1612</v>
      </c>
      <c r="I241" s="860" t="s">
        <v>1613</v>
      </c>
      <c r="J241" s="1151"/>
      <c r="K241" s="1151"/>
      <c r="L241" s="861" t="s">
        <v>1614</v>
      </c>
    </row>
    <row r="242" spans="1:12" ht="24" customHeight="1" outlineLevel="1" x14ac:dyDescent="0.2">
      <c r="A242" s="835"/>
      <c r="B242" s="840"/>
      <c r="C242" s="1543" t="s">
        <v>1412</v>
      </c>
      <c r="D242" s="1531" t="s">
        <v>1615</v>
      </c>
      <c r="E242" s="1532"/>
      <c r="F242" s="1532"/>
      <c r="G242" s="1533"/>
      <c r="H242" s="862"/>
      <c r="I242" s="863"/>
      <c r="J242" s="864"/>
      <c r="K242" s="864"/>
      <c r="L242" s="865"/>
    </row>
    <row r="243" spans="1:12" ht="24" customHeight="1" outlineLevel="1" x14ac:dyDescent="0.2">
      <c r="A243" s="835"/>
      <c r="B243" s="840"/>
      <c r="C243" s="1543"/>
      <c r="D243" s="1531" t="s">
        <v>1616</v>
      </c>
      <c r="E243" s="1532"/>
      <c r="F243" s="1532"/>
      <c r="G243" s="1533"/>
      <c r="H243" s="866"/>
      <c r="I243" s="867"/>
      <c r="J243" s="864"/>
      <c r="K243" s="864"/>
      <c r="L243" s="868"/>
    </row>
    <row r="244" spans="1:12" outlineLevel="1" x14ac:dyDescent="0.2">
      <c r="A244" s="835"/>
      <c r="B244" s="840"/>
      <c r="C244" s="1543"/>
      <c r="D244" s="1531" t="s">
        <v>1617</v>
      </c>
      <c r="E244" s="1532"/>
      <c r="F244" s="1532"/>
      <c r="G244" s="1533"/>
      <c r="H244" s="866"/>
      <c r="I244" s="867"/>
      <c r="J244" s="864"/>
      <c r="K244" s="864"/>
      <c r="L244" s="865"/>
    </row>
    <row r="245" spans="1:12" outlineLevel="1" x14ac:dyDescent="0.2">
      <c r="A245" s="835"/>
      <c r="B245" s="840"/>
      <c r="C245" s="1543"/>
      <c r="D245" s="1531" t="s">
        <v>1618</v>
      </c>
      <c r="E245" s="1532"/>
      <c r="F245" s="1532"/>
      <c r="G245" s="1533"/>
      <c r="H245" s="866"/>
      <c r="I245" s="867"/>
      <c r="J245" s="864"/>
      <c r="K245" s="864"/>
      <c r="L245" s="865"/>
    </row>
    <row r="246" spans="1:12" outlineLevel="1" x14ac:dyDescent="0.2">
      <c r="A246" s="835"/>
      <c r="B246" s="840"/>
      <c r="C246" s="1543"/>
      <c r="D246" s="1531" t="s">
        <v>1619</v>
      </c>
      <c r="E246" s="1532"/>
      <c r="F246" s="1532"/>
      <c r="G246" s="1533"/>
      <c r="H246" s="866"/>
      <c r="I246" s="867"/>
      <c r="J246" s="864"/>
      <c r="K246" s="864"/>
      <c r="L246" s="865"/>
    </row>
    <row r="247" spans="1:12" ht="27" customHeight="1" outlineLevel="1" x14ac:dyDescent="0.2">
      <c r="A247" s="835"/>
      <c r="B247" s="840"/>
      <c r="C247" s="1544" t="s">
        <v>1519</v>
      </c>
      <c r="D247" s="1531" t="s">
        <v>1620</v>
      </c>
      <c r="E247" s="1532"/>
      <c r="F247" s="1532"/>
      <c r="G247" s="1533"/>
      <c r="H247" s="866"/>
      <c r="I247" s="867"/>
      <c r="J247" s="864"/>
      <c r="K247" s="864"/>
      <c r="L247" s="865"/>
    </row>
    <row r="248" spans="1:12" ht="26.25" customHeight="1" outlineLevel="1" x14ac:dyDescent="0.2">
      <c r="A248" s="835"/>
      <c r="B248" s="840"/>
      <c r="C248" s="1544"/>
      <c r="D248" s="1531" t="s">
        <v>1621</v>
      </c>
      <c r="E248" s="1532"/>
      <c r="F248" s="1532"/>
      <c r="G248" s="1533"/>
      <c r="H248" s="866"/>
      <c r="I248" s="867"/>
      <c r="J248" s="864"/>
      <c r="K248" s="864"/>
      <c r="L248" s="868"/>
    </row>
    <row r="249" spans="1:12" ht="23.25" customHeight="1" outlineLevel="1" x14ac:dyDescent="0.2">
      <c r="A249" s="835"/>
      <c r="B249" s="840"/>
      <c r="C249" s="1545" t="s">
        <v>1622</v>
      </c>
      <c r="D249" s="1531" t="s">
        <v>1623</v>
      </c>
      <c r="E249" s="1532"/>
      <c r="F249" s="1532"/>
      <c r="G249" s="1533"/>
      <c r="H249" s="869"/>
      <c r="I249" s="870"/>
      <c r="J249" s="871"/>
      <c r="K249" s="871"/>
      <c r="L249" s="865"/>
    </row>
    <row r="250" spans="1:12" ht="24.75" customHeight="1" outlineLevel="1" x14ac:dyDescent="0.2">
      <c r="A250" s="835"/>
      <c r="B250" s="840"/>
      <c r="C250" s="1545"/>
      <c r="D250" s="1531" t="s">
        <v>1624</v>
      </c>
      <c r="E250" s="1532"/>
      <c r="F250" s="1532"/>
      <c r="G250" s="1533"/>
      <c r="H250" s="869"/>
      <c r="I250" s="870"/>
      <c r="J250" s="871"/>
      <c r="K250" s="871"/>
      <c r="L250" s="865"/>
    </row>
    <row r="251" spans="1:12" outlineLevel="1" x14ac:dyDescent="0.2">
      <c r="A251" s="835"/>
      <c r="B251" s="840"/>
      <c r="C251" s="1545"/>
      <c r="D251" s="1531" t="s">
        <v>1625</v>
      </c>
      <c r="E251" s="1532"/>
      <c r="F251" s="1532"/>
      <c r="G251" s="1533"/>
      <c r="H251" s="869"/>
      <c r="I251" s="870"/>
      <c r="J251" s="871"/>
      <c r="K251" s="871"/>
      <c r="L251" s="865"/>
    </row>
    <row r="252" spans="1:12" outlineLevel="1" x14ac:dyDescent="0.2">
      <c r="A252" s="835"/>
      <c r="B252" s="840"/>
      <c r="C252" s="1545"/>
      <c r="D252" s="1531" t="s">
        <v>1626</v>
      </c>
      <c r="E252" s="1532"/>
      <c r="F252" s="1532"/>
      <c r="G252" s="1533"/>
      <c r="H252" s="869"/>
      <c r="I252" s="870"/>
      <c r="J252" s="871"/>
      <c r="K252" s="871"/>
      <c r="L252" s="865"/>
    </row>
    <row r="253" spans="1:12" outlineLevel="1" x14ac:dyDescent="0.2">
      <c r="A253" s="835"/>
      <c r="B253" s="840"/>
      <c r="C253" s="1546"/>
      <c r="D253" s="1531" t="s">
        <v>1627</v>
      </c>
      <c r="E253" s="1532"/>
      <c r="F253" s="1532"/>
      <c r="G253" s="1533"/>
      <c r="H253" s="872"/>
      <c r="I253" s="873"/>
      <c r="J253" s="874"/>
      <c r="K253" s="874"/>
      <c r="L253" s="875"/>
    </row>
    <row r="254" spans="1:12" x14ac:dyDescent="0.2">
      <c r="A254" s="1144"/>
      <c r="B254" s="1144"/>
      <c r="C254" s="1144"/>
      <c r="D254" s="1144"/>
      <c r="E254" s="1144"/>
      <c r="F254" s="1144"/>
      <c r="G254" s="1144"/>
      <c r="H254" s="1144"/>
      <c r="I254" s="1144"/>
      <c r="J254" s="1144"/>
      <c r="K254" s="1144"/>
      <c r="L254" s="1144"/>
    </row>
    <row r="255" spans="1:12" x14ac:dyDescent="0.2">
      <c r="A255" s="1144"/>
      <c r="B255" s="1144"/>
      <c r="C255" s="1144"/>
      <c r="D255" s="1144"/>
      <c r="E255" s="1144"/>
      <c r="F255" s="1144"/>
      <c r="G255" s="1144"/>
      <c r="H255" s="1144"/>
      <c r="I255" s="1144"/>
      <c r="J255" s="1144"/>
      <c r="K255" s="1144"/>
      <c r="L255" s="1144"/>
    </row>
    <row r="256" spans="1:12" x14ac:dyDescent="0.2">
      <c r="A256" s="1144"/>
      <c r="B256" s="1144"/>
      <c r="C256" s="1144"/>
      <c r="D256" s="1144"/>
      <c r="E256" s="1144"/>
      <c r="F256" s="1144"/>
      <c r="G256" s="1144"/>
      <c r="H256" s="1144"/>
      <c r="I256" s="1144"/>
      <c r="J256" s="1144"/>
      <c r="K256" s="1144"/>
      <c r="L256" s="1144"/>
    </row>
    <row r="257" spans="1:13" s="192" customFormat="1" x14ac:dyDescent="0.2">
      <c r="A257" s="1152"/>
      <c r="B257" s="1152"/>
      <c r="C257" s="1662" t="s">
        <v>2205</v>
      </c>
      <c r="D257" s="1152"/>
      <c r="E257" s="1152"/>
      <c r="F257" s="1152"/>
      <c r="G257" s="1152"/>
      <c r="H257" s="1152"/>
      <c r="I257" s="1152"/>
      <c r="J257" s="1152"/>
      <c r="K257" s="1152"/>
      <c r="L257" s="1152"/>
    </row>
    <row r="258" spans="1:13" ht="89.25" outlineLevel="1" x14ac:dyDescent="0.2">
      <c r="A258" s="1110" t="s">
        <v>1406</v>
      </c>
      <c r="B258" s="1110"/>
      <c r="C258" s="1547" t="s">
        <v>1314</v>
      </c>
      <c r="D258" s="1548"/>
      <c r="E258" s="1548"/>
      <c r="F258" s="1548"/>
      <c r="G258" s="1549"/>
      <c r="H258" s="1060" t="s">
        <v>1628</v>
      </c>
      <c r="I258" s="1061" t="s">
        <v>1629</v>
      </c>
      <c r="J258" s="1062" t="s">
        <v>2117</v>
      </c>
      <c r="K258" s="1111" t="s">
        <v>2118</v>
      </c>
      <c r="L258" s="1060" t="s">
        <v>1630</v>
      </c>
    </row>
    <row r="259" spans="1:13" outlineLevel="1" x14ac:dyDescent="0.2">
      <c r="A259" s="828"/>
      <c r="B259" s="828"/>
      <c r="C259" s="828"/>
      <c r="D259" s="829"/>
      <c r="E259" s="829"/>
      <c r="F259" s="829"/>
      <c r="G259" s="829"/>
      <c r="H259" s="830"/>
      <c r="I259" s="831"/>
      <c r="J259" s="829"/>
      <c r="K259" s="829"/>
      <c r="L259" s="832"/>
    </row>
    <row r="260" spans="1:13" outlineLevel="1" x14ac:dyDescent="0.2">
      <c r="A260" s="876"/>
      <c r="B260" s="877"/>
      <c r="D260" s="1534" t="s">
        <v>1631</v>
      </c>
      <c r="E260" s="1535"/>
      <c r="F260" s="1535"/>
      <c r="G260" s="1536"/>
      <c r="H260" s="878"/>
      <c r="I260" s="878"/>
      <c r="J260" s="878"/>
      <c r="K260" s="878"/>
      <c r="L260" s="879"/>
    </row>
    <row r="261" spans="1:13" ht="22.5" customHeight="1" outlineLevel="1" x14ac:dyDescent="0.2">
      <c r="A261" s="880">
        <v>2000</v>
      </c>
      <c r="B261" s="881"/>
      <c r="D261" s="1534" t="s">
        <v>1632</v>
      </c>
      <c r="E261" s="1535"/>
      <c r="F261" s="1535"/>
      <c r="G261" s="1536"/>
      <c r="H261" s="882">
        <f>+H262-H285</f>
        <v>0</v>
      </c>
      <c r="I261" s="882">
        <f t="shared" ref="I261:L261" si="87">+I262-I285</f>
        <v>0</v>
      </c>
      <c r="J261" s="882">
        <f t="shared" si="87"/>
        <v>0</v>
      </c>
      <c r="K261" s="882">
        <f t="shared" si="87"/>
        <v>0</v>
      </c>
      <c r="L261" s="882">
        <f t="shared" si="87"/>
        <v>0</v>
      </c>
      <c r="M261" s="1161">
        <f>+L261-'110 Renta 20x3'!Q35+'110 Renta 20x3'!Q47</f>
        <v>0</v>
      </c>
    </row>
    <row r="262" spans="1:13" ht="22.5" customHeight="1" outlineLevel="1" x14ac:dyDescent="0.2">
      <c r="A262" s="880">
        <v>2000</v>
      </c>
      <c r="B262" s="881"/>
      <c r="D262" s="1534" t="s">
        <v>1633</v>
      </c>
      <c r="E262" s="1535"/>
      <c r="F262" s="1535"/>
      <c r="G262" s="1536"/>
      <c r="H262" s="1136">
        <f>+SUM(H263:H284)</f>
        <v>0</v>
      </c>
      <c r="I262" s="1136">
        <f t="shared" ref="I262:L262" si="88">+SUM(I263:I284)</f>
        <v>0</v>
      </c>
      <c r="J262" s="1136">
        <f t="shared" si="88"/>
        <v>0</v>
      </c>
      <c r="K262" s="1136">
        <f t="shared" si="88"/>
        <v>0</v>
      </c>
      <c r="L262" s="1136">
        <f t="shared" si="88"/>
        <v>0</v>
      </c>
      <c r="M262" s="1161">
        <f>+L262-'110 Renta 20x3'!Q35</f>
        <v>0</v>
      </c>
    </row>
    <row r="263" spans="1:13" ht="12.75" customHeight="1" outlineLevel="1" x14ac:dyDescent="0.2">
      <c r="A263" s="884">
        <v>250</v>
      </c>
      <c r="B263" s="881"/>
      <c r="C263" s="1514" t="s">
        <v>692</v>
      </c>
      <c r="D263" s="1531" t="s">
        <v>1634</v>
      </c>
      <c r="E263" s="1532"/>
      <c r="F263" s="1532"/>
      <c r="G263" s="1533"/>
      <c r="H263" s="1120">
        <f>+SUMIF('Sumaria renta 20x3'!G:G,'2516 20x3'!A263,'Sumaria renta 20x3'!C:C)</f>
        <v>0</v>
      </c>
      <c r="I263" s="1118"/>
      <c r="J263" s="842">
        <f t="shared" ref="J263" si="89">+IF((H263&gt;L263),(H263-L263),0)</f>
        <v>0</v>
      </c>
      <c r="K263" s="842">
        <f t="shared" ref="K263" si="90">+IF((H263&lt;L263),(L263-H263),0)</f>
        <v>0</v>
      </c>
      <c r="L263" s="842">
        <f>+SUMIF('Sumaria renta 20x3'!G:G,'2516 20x3'!A263,'Sumaria renta 20x3'!E:E)</f>
        <v>0</v>
      </c>
    </row>
    <row r="264" spans="1:13" ht="12.75" customHeight="1" outlineLevel="1" x14ac:dyDescent="0.2">
      <c r="A264" s="884">
        <v>251</v>
      </c>
      <c r="B264" s="881"/>
      <c r="C264" s="1514"/>
      <c r="D264" s="1531" t="s">
        <v>1635</v>
      </c>
      <c r="E264" s="1532"/>
      <c r="F264" s="1532"/>
      <c r="G264" s="1533"/>
      <c r="H264" s="1120">
        <f>+SUMIF('Sumaria renta 20x3'!G:G,'2516 20x3'!A264,'Sumaria renta 20x3'!C:C)</f>
        <v>0</v>
      </c>
      <c r="I264" s="1118"/>
      <c r="J264" s="842">
        <f t="shared" ref="J264:J284" si="91">+IF((H264&gt;L264),(H264-L264),0)</f>
        <v>0</v>
      </c>
      <c r="K264" s="842">
        <f t="shared" ref="K264:K284" si="92">+IF((H264&lt;L264),(L264-H264),0)</f>
        <v>0</v>
      </c>
      <c r="L264" s="842">
        <f>+SUMIF('Sumaria renta 20x3'!G:G,'2516 20x3'!A264,'Sumaria renta 20x3'!E:E)</f>
        <v>0</v>
      </c>
    </row>
    <row r="265" spans="1:13" outlineLevel="1" x14ac:dyDescent="0.2">
      <c r="A265" s="884">
        <v>252</v>
      </c>
      <c r="B265" s="881"/>
      <c r="C265" s="1514"/>
      <c r="D265" s="1531" t="s">
        <v>1636</v>
      </c>
      <c r="E265" s="1532"/>
      <c r="F265" s="1532"/>
      <c r="G265" s="1533"/>
      <c r="H265" s="1120">
        <f>+SUMIF('Sumaria renta 20x3'!G:G,'2516 20x3'!A265,'Sumaria renta 20x3'!C:C)</f>
        <v>0</v>
      </c>
      <c r="I265" s="1118"/>
      <c r="J265" s="842">
        <f t="shared" si="91"/>
        <v>0</v>
      </c>
      <c r="K265" s="842">
        <f t="shared" si="92"/>
        <v>0</v>
      </c>
      <c r="L265" s="842">
        <f>+SUMIF('Sumaria renta 20x3'!G:G,'2516 20x3'!A265,'Sumaria renta 20x3'!E:E)</f>
        <v>0</v>
      </c>
    </row>
    <row r="266" spans="1:13" ht="12.75" customHeight="1" outlineLevel="1" x14ac:dyDescent="0.2">
      <c r="A266" s="884">
        <v>253</v>
      </c>
      <c r="B266" s="881"/>
      <c r="C266" s="1514"/>
      <c r="D266" s="1531" t="s">
        <v>1637</v>
      </c>
      <c r="E266" s="1532"/>
      <c r="F266" s="1532"/>
      <c r="G266" s="1533"/>
      <c r="H266" s="1120">
        <f>+SUMIF('Sumaria renta 20x3'!G:G,'2516 20x3'!A266,'Sumaria renta 20x3'!C:C)</f>
        <v>0</v>
      </c>
      <c r="I266" s="1118"/>
      <c r="J266" s="842">
        <f t="shared" si="91"/>
        <v>0</v>
      </c>
      <c r="K266" s="842">
        <f t="shared" si="92"/>
        <v>0</v>
      </c>
      <c r="L266" s="842">
        <f>+SUMIF('Sumaria renta 20x3'!G:G,'2516 20x3'!A266,'Sumaria renta 20x3'!E:E)</f>
        <v>0</v>
      </c>
    </row>
    <row r="267" spans="1:13" ht="12.75" customHeight="1" outlineLevel="1" x14ac:dyDescent="0.2">
      <c r="A267" s="884">
        <v>254</v>
      </c>
      <c r="B267" s="881"/>
      <c r="C267" s="1514"/>
      <c r="D267" s="1531" t="s">
        <v>1638</v>
      </c>
      <c r="E267" s="1532"/>
      <c r="F267" s="1532"/>
      <c r="G267" s="1533"/>
      <c r="H267" s="1120">
        <f>+SUMIF('Sumaria renta 20x3'!G:G,'2516 20x3'!A267,'Sumaria renta 20x3'!C:C)</f>
        <v>0</v>
      </c>
      <c r="I267" s="1118"/>
      <c r="J267" s="842">
        <f t="shared" si="91"/>
        <v>0</v>
      </c>
      <c r="K267" s="842">
        <f t="shared" si="92"/>
        <v>0</v>
      </c>
      <c r="L267" s="842">
        <f>+SUMIF('Sumaria renta 20x3'!G:G,'2516 20x3'!A267,'Sumaria renta 20x3'!E:E)</f>
        <v>0</v>
      </c>
    </row>
    <row r="268" spans="1:13" ht="12.75" customHeight="1" outlineLevel="1" x14ac:dyDescent="0.2">
      <c r="A268" s="884">
        <v>255</v>
      </c>
      <c r="B268" s="881"/>
      <c r="C268" s="1514"/>
      <c r="D268" s="1531" t="s">
        <v>1639</v>
      </c>
      <c r="E268" s="1532"/>
      <c r="F268" s="1532"/>
      <c r="G268" s="1533"/>
      <c r="H268" s="1120">
        <f>+SUMIF('Sumaria renta 20x3'!G:G,'2516 20x3'!A268,'Sumaria renta 20x3'!C:C)</f>
        <v>0</v>
      </c>
      <c r="I268" s="1118"/>
      <c r="J268" s="842">
        <f t="shared" si="91"/>
        <v>0</v>
      </c>
      <c r="K268" s="842">
        <f t="shared" si="92"/>
        <v>0</v>
      </c>
      <c r="L268" s="842">
        <f>+SUMIF('Sumaria renta 20x3'!G:G,'2516 20x3'!A268,'Sumaria renta 20x3'!E:E)</f>
        <v>0</v>
      </c>
    </row>
    <row r="269" spans="1:13" ht="12.75" customHeight="1" outlineLevel="1" x14ac:dyDescent="0.2">
      <c r="A269" s="884">
        <v>256</v>
      </c>
      <c r="B269" s="881"/>
      <c r="C269" s="1514" t="s">
        <v>1640</v>
      </c>
      <c r="D269" s="1531" t="s">
        <v>1634</v>
      </c>
      <c r="E269" s="1532"/>
      <c r="F269" s="1532"/>
      <c r="G269" s="1533"/>
      <c r="H269" s="1120">
        <f>+SUMIF('Sumaria renta 20x3'!G:G,'2516 20x3'!A269,'Sumaria renta 20x3'!C:C)</f>
        <v>0</v>
      </c>
      <c r="I269" s="1118"/>
      <c r="J269" s="842">
        <f t="shared" si="91"/>
        <v>0</v>
      </c>
      <c r="K269" s="842">
        <f t="shared" si="92"/>
        <v>0</v>
      </c>
      <c r="L269" s="842">
        <f>+SUMIF('Sumaria renta 20x3'!G:G,'2516 20x3'!A269,'Sumaria renta 20x3'!E:E)</f>
        <v>0</v>
      </c>
    </row>
    <row r="270" spans="1:13" ht="12.75" customHeight="1" outlineLevel="1" x14ac:dyDescent="0.2">
      <c r="A270" s="884">
        <v>257</v>
      </c>
      <c r="B270" s="881"/>
      <c r="C270" s="1514"/>
      <c r="D270" s="1531" t="s">
        <v>1635</v>
      </c>
      <c r="E270" s="1532"/>
      <c r="F270" s="1532"/>
      <c r="G270" s="1533"/>
      <c r="H270" s="1120">
        <f>+SUMIF('Sumaria renta 20x3'!G:G,'2516 20x3'!A270,'Sumaria renta 20x3'!C:C)</f>
        <v>0</v>
      </c>
      <c r="I270" s="1118"/>
      <c r="J270" s="842">
        <f t="shared" si="91"/>
        <v>0</v>
      </c>
      <c r="K270" s="842">
        <f t="shared" si="92"/>
        <v>0</v>
      </c>
      <c r="L270" s="842">
        <f>+SUMIF('Sumaria renta 20x3'!G:G,'2516 20x3'!A270,'Sumaria renta 20x3'!E:E)</f>
        <v>0</v>
      </c>
    </row>
    <row r="271" spans="1:13" outlineLevel="1" x14ac:dyDescent="0.2">
      <c r="A271" s="884">
        <v>258</v>
      </c>
      <c r="B271" s="881"/>
      <c r="C271" s="1514"/>
      <c r="D271" s="1531" t="s">
        <v>1636</v>
      </c>
      <c r="E271" s="1532"/>
      <c r="F271" s="1532"/>
      <c r="G271" s="1533"/>
      <c r="H271" s="1120">
        <f>+SUMIF('Sumaria renta 20x3'!G:G,'2516 20x3'!A271,'Sumaria renta 20x3'!C:C)</f>
        <v>0</v>
      </c>
      <c r="I271" s="1118"/>
      <c r="J271" s="842">
        <f t="shared" si="91"/>
        <v>0</v>
      </c>
      <c r="K271" s="842">
        <f t="shared" si="92"/>
        <v>0</v>
      </c>
      <c r="L271" s="842">
        <f>+SUMIF('Sumaria renta 20x3'!G:G,'2516 20x3'!A271,'Sumaria renta 20x3'!E:E)</f>
        <v>0</v>
      </c>
    </row>
    <row r="272" spans="1:13" ht="12.75" customHeight="1" outlineLevel="1" x14ac:dyDescent="0.2">
      <c r="A272" s="884">
        <v>259</v>
      </c>
      <c r="B272" s="881"/>
      <c r="C272" s="1514"/>
      <c r="D272" s="1531" t="s">
        <v>1637</v>
      </c>
      <c r="E272" s="1532"/>
      <c r="F272" s="1532"/>
      <c r="G272" s="1533"/>
      <c r="H272" s="1120">
        <f>+SUMIF('Sumaria renta 20x3'!G:G,'2516 20x3'!A272,'Sumaria renta 20x3'!C:C)</f>
        <v>0</v>
      </c>
      <c r="I272" s="1118"/>
      <c r="J272" s="842">
        <f t="shared" si="91"/>
        <v>0</v>
      </c>
      <c r="K272" s="842">
        <f t="shared" si="92"/>
        <v>0</v>
      </c>
      <c r="L272" s="842">
        <f>+SUMIF('Sumaria renta 20x3'!G:G,'2516 20x3'!A272,'Sumaria renta 20x3'!E:E)</f>
        <v>0</v>
      </c>
    </row>
    <row r="273" spans="1:13" ht="12.75" customHeight="1" outlineLevel="1" x14ac:dyDescent="0.2">
      <c r="A273" s="884">
        <v>260</v>
      </c>
      <c r="B273" s="881"/>
      <c r="C273" s="1514"/>
      <c r="D273" s="1531" t="s">
        <v>1638</v>
      </c>
      <c r="E273" s="1532"/>
      <c r="F273" s="1532"/>
      <c r="G273" s="1533"/>
      <c r="H273" s="1120">
        <f>+SUMIF('Sumaria renta 20x3'!G:G,'2516 20x3'!A273,'Sumaria renta 20x3'!C:C)</f>
        <v>0</v>
      </c>
      <c r="I273" s="1118"/>
      <c r="J273" s="842">
        <f t="shared" si="91"/>
        <v>0</v>
      </c>
      <c r="K273" s="842">
        <f t="shared" si="92"/>
        <v>0</v>
      </c>
      <c r="L273" s="842">
        <f>+SUMIF('Sumaria renta 20x3'!G:G,'2516 20x3'!A273,'Sumaria renta 20x3'!E:E)</f>
        <v>0</v>
      </c>
    </row>
    <row r="274" spans="1:13" ht="12.75" customHeight="1" outlineLevel="1" x14ac:dyDescent="0.2">
      <c r="A274" s="884">
        <v>261</v>
      </c>
      <c r="B274" s="881"/>
      <c r="C274" s="1514"/>
      <c r="D274" s="1531" t="s">
        <v>1639</v>
      </c>
      <c r="E274" s="1532"/>
      <c r="F274" s="1532"/>
      <c r="G274" s="1533"/>
      <c r="H274" s="1120">
        <f>+SUMIF('Sumaria renta 20x3'!G:G,'2516 20x3'!A274,'Sumaria renta 20x3'!C:C)</f>
        <v>0</v>
      </c>
      <c r="I274" s="1118"/>
      <c r="J274" s="842">
        <f t="shared" si="91"/>
        <v>0</v>
      </c>
      <c r="K274" s="842">
        <f t="shared" si="92"/>
        <v>0</v>
      </c>
      <c r="L274" s="842">
        <f>+SUMIF('Sumaria renta 20x3'!G:G,'2516 20x3'!A274,'Sumaria renta 20x3'!E:E)</f>
        <v>0</v>
      </c>
    </row>
    <row r="275" spans="1:13" ht="12.75" customHeight="1" outlineLevel="1" x14ac:dyDescent="0.2">
      <c r="A275" s="884">
        <v>262</v>
      </c>
      <c r="B275" s="881"/>
      <c r="D275" s="1531" t="s">
        <v>210</v>
      </c>
      <c r="E275" s="1532"/>
      <c r="F275" s="1532"/>
      <c r="G275" s="1533"/>
      <c r="H275" s="1120">
        <f>+SUMIF('Sumaria renta 20x3'!G:G,'2516 20x3'!A275,'Sumaria renta 20x3'!C:C)</f>
        <v>0</v>
      </c>
      <c r="I275" s="1118"/>
      <c r="J275" s="842">
        <f t="shared" si="91"/>
        <v>0</v>
      </c>
      <c r="K275" s="842">
        <f t="shared" si="92"/>
        <v>0</v>
      </c>
      <c r="L275" s="842">
        <f>+SUMIF('Sumaria renta 20x3'!G:G,'2516 20x3'!A275,'Sumaria renta 20x3'!E:E)</f>
        <v>0</v>
      </c>
    </row>
    <row r="276" spans="1:13" ht="12.75" customHeight="1" outlineLevel="1" x14ac:dyDescent="0.2">
      <c r="A276" s="884">
        <v>263</v>
      </c>
      <c r="B276" s="881"/>
      <c r="D276" s="1531" t="s">
        <v>812</v>
      </c>
      <c r="E276" s="1532"/>
      <c r="F276" s="1532"/>
      <c r="G276" s="1533"/>
      <c r="H276" s="1120">
        <f>+SUMIF('Sumaria renta 20x3'!G:G,'2516 20x3'!A276,'Sumaria renta 20x3'!C:C)</f>
        <v>0</v>
      </c>
      <c r="I276" s="1118"/>
      <c r="J276" s="842">
        <f t="shared" si="91"/>
        <v>0</v>
      </c>
      <c r="K276" s="842">
        <f t="shared" si="92"/>
        <v>0</v>
      </c>
      <c r="L276" s="842">
        <f>+SUMIF('Sumaria renta 20x3'!G:G,'2516 20x3'!A276,'Sumaria renta 20x3'!E:E)</f>
        <v>0</v>
      </c>
    </row>
    <row r="277" spans="1:13" ht="12.75" customHeight="1" outlineLevel="1" x14ac:dyDescent="0.2">
      <c r="A277" s="884">
        <v>264</v>
      </c>
      <c r="B277" s="881"/>
      <c r="D277" s="1531" t="s">
        <v>1641</v>
      </c>
      <c r="E277" s="1532"/>
      <c r="F277" s="1532"/>
      <c r="G277" s="1533"/>
      <c r="H277" s="1120">
        <f>+SUMIF('Sumaria renta 20x3'!G:G,'2516 20x3'!A277,'Sumaria renta 20x3'!C:C)</f>
        <v>0</v>
      </c>
      <c r="I277" s="1118"/>
      <c r="J277" s="842">
        <f t="shared" si="91"/>
        <v>0</v>
      </c>
      <c r="K277" s="842">
        <f t="shared" si="92"/>
        <v>0</v>
      </c>
      <c r="L277" s="842">
        <f>+SUMIF('Sumaria renta 20x3'!G:G,'2516 20x3'!A277,'Sumaria renta 20x3'!E:E)</f>
        <v>0</v>
      </c>
    </row>
    <row r="278" spans="1:13" outlineLevel="1" x14ac:dyDescent="0.2">
      <c r="A278" s="884">
        <v>265</v>
      </c>
      <c r="B278" s="881"/>
      <c r="D278" s="1531" t="s">
        <v>1642</v>
      </c>
      <c r="E278" s="1532"/>
      <c r="F278" s="1532"/>
      <c r="G278" s="1533"/>
      <c r="H278" s="1120">
        <f>+SUMIF('Sumaria renta 20x3'!G:G,'2516 20x3'!A278,'Sumaria renta 20x3'!C:C)</f>
        <v>0</v>
      </c>
      <c r="I278" s="1118"/>
      <c r="J278" s="842">
        <f t="shared" si="91"/>
        <v>0</v>
      </c>
      <c r="K278" s="842">
        <f t="shared" si="92"/>
        <v>0</v>
      </c>
      <c r="L278" s="842">
        <f>+SUMIF('Sumaria renta 20x3'!G:G,'2516 20x3'!A278,'Sumaria renta 20x3'!E:E)</f>
        <v>0</v>
      </c>
    </row>
    <row r="279" spans="1:13" ht="12.75" customHeight="1" outlineLevel="1" x14ac:dyDescent="0.2">
      <c r="A279" s="884">
        <v>266</v>
      </c>
      <c r="B279" s="881"/>
      <c r="D279" s="1531" t="s">
        <v>1643</v>
      </c>
      <c r="E279" s="1532"/>
      <c r="F279" s="1532"/>
      <c r="G279" s="1533"/>
      <c r="H279" s="1120">
        <f>+SUMIF('Sumaria renta 20x3'!G:G,'2516 20x3'!A279,'Sumaria renta 20x3'!C:C)</f>
        <v>0</v>
      </c>
      <c r="I279" s="1118"/>
      <c r="J279" s="842">
        <f t="shared" si="91"/>
        <v>0</v>
      </c>
      <c r="K279" s="842">
        <f t="shared" si="92"/>
        <v>0</v>
      </c>
      <c r="L279" s="842">
        <f>+SUMIF('Sumaria renta 20x3'!G:G,'2516 20x3'!A279,'Sumaria renta 20x3'!E:E)</f>
        <v>0</v>
      </c>
    </row>
    <row r="280" spans="1:13" ht="12.75" customHeight="1" outlineLevel="1" x14ac:dyDescent="0.2">
      <c r="A280" s="884">
        <v>267</v>
      </c>
      <c r="B280" s="881"/>
      <c r="D280" s="1531" t="s">
        <v>1644</v>
      </c>
      <c r="E280" s="1532"/>
      <c r="F280" s="1532"/>
      <c r="G280" s="1533"/>
      <c r="H280" s="1120">
        <f>+SUMIF('Sumaria renta 20x3'!G:G,'2516 20x3'!A280,'Sumaria renta 20x3'!C:C)</f>
        <v>0</v>
      </c>
      <c r="I280" s="1118"/>
      <c r="J280" s="842">
        <f t="shared" si="91"/>
        <v>0</v>
      </c>
      <c r="K280" s="842">
        <f t="shared" si="92"/>
        <v>0</v>
      </c>
      <c r="L280" s="842">
        <f>+SUMIF('Sumaria renta 20x3'!G:G,'2516 20x3'!A280,'Sumaria renta 20x3'!E:E)</f>
        <v>0</v>
      </c>
    </row>
    <row r="281" spans="1:13" ht="12.75" customHeight="1" outlineLevel="1" x14ac:dyDescent="0.2">
      <c r="A281" s="884">
        <v>268</v>
      </c>
      <c r="B281" s="881"/>
      <c r="D281" s="1531" t="s">
        <v>1645</v>
      </c>
      <c r="E281" s="1532"/>
      <c r="F281" s="1532"/>
      <c r="G281" s="1533"/>
      <c r="H281" s="1120">
        <f>+SUMIF('Sumaria renta 20x3'!G:G,'2516 20x3'!A281,'Sumaria renta 20x3'!C:C)</f>
        <v>0</v>
      </c>
      <c r="I281" s="1118"/>
      <c r="J281" s="842">
        <f t="shared" si="91"/>
        <v>0</v>
      </c>
      <c r="K281" s="842">
        <f t="shared" si="92"/>
        <v>0</v>
      </c>
      <c r="L281" s="842">
        <f>+SUMIF('Sumaria renta 20x3'!G:G,'2516 20x3'!A281,'Sumaria renta 20x3'!E:E)</f>
        <v>0</v>
      </c>
    </row>
    <row r="282" spans="1:13" ht="12.75" customHeight="1" outlineLevel="1" x14ac:dyDescent="0.2">
      <c r="A282" s="884">
        <v>269</v>
      </c>
      <c r="B282" s="881"/>
      <c r="D282" s="1531" t="s">
        <v>1646</v>
      </c>
      <c r="E282" s="1532"/>
      <c r="F282" s="1532"/>
      <c r="G282" s="1533"/>
      <c r="H282" s="1120">
        <f>+SUMIF('Sumaria renta 20x3'!G:G,'2516 20x3'!A282,'Sumaria renta 20x3'!C:C)</f>
        <v>0</v>
      </c>
      <c r="I282" s="1118"/>
      <c r="J282" s="842">
        <f t="shared" si="91"/>
        <v>0</v>
      </c>
      <c r="K282" s="842">
        <f t="shared" si="92"/>
        <v>0</v>
      </c>
      <c r="L282" s="842">
        <f>+SUMIF('Sumaria renta 20x3'!G:G,'2516 20x3'!A282,'Sumaria renta 20x3'!E:E)</f>
        <v>0</v>
      </c>
    </row>
    <row r="283" spans="1:13" ht="12.75" customHeight="1" outlineLevel="1" x14ac:dyDescent="0.2">
      <c r="A283" s="884">
        <v>270</v>
      </c>
      <c r="B283" s="881"/>
      <c r="D283" s="1531" t="s">
        <v>1647</v>
      </c>
      <c r="E283" s="1532"/>
      <c r="F283" s="1532"/>
      <c r="G283" s="1533"/>
      <c r="H283" s="1120">
        <f>+SUMIF('Sumaria renta 20x3'!G:G,'2516 20x3'!A283,'Sumaria renta 20x3'!C:C)</f>
        <v>0</v>
      </c>
      <c r="I283" s="1118"/>
      <c r="J283" s="842">
        <f t="shared" si="91"/>
        <v>0</v>
      </c>
      <c r="K283" s="842">
        <f t="shared" si="92"/>
        <v>0</v>
      </c>
      <c r="L283" s="842">
        <f>+SUMIF('Sumaria renta 20x3'!G:G,'2516 20x3'!A283,'Sumaria renta 20x3'!E:E)</f>
        <v>0</v>
      </c>
    </row>
    <row r="284" spans="1:13" ht="12.75" customHeight="1" outlineLevel="1" x14ac:dyDescent="0.2">
      <c r="A284" s="884">
        <v>271</v>
      </c>
      <c r="B284" s="881"/>
      <c r="D284" s="1531" t="s">
        <v>146</v>
      </c>
      <c r="E284" s="1532"/>
      <c r="F284" s="1532"/>
      <c r="G284" s="1533"/>
      <c r="H284" s="1120">
        <f>+SUMIF('Sumaria renta 20x3'!G:G,'2516 20x3'!A284,'Sumaria renta 20x3'!C:C)</f>
        <v>0</v>
      </c>
      <c r="I284" s="1118"/>
      <c r="J284" s="842">
        <f t="shared" si="91"/>
        <v>0</v>
      </c>
      <c r="K284" s="842">
        <f t="shared" si="92"/>
        <v>0</v>
      </c>
      <c r="L284" s="842">
        <f>+SUMIF('Sumaria renta 20x3'!G:G,'2516 20x3'!A284,'Sumaria renta 20x3'!E:E)</f>
        <v>0</v>
      </c>
    </row>
    <row r="285" spans="1:13" outlineLevel="1" x14ac:dyDescent="0.2">
      <c r="A285" s="880">
        <v>2000</v>
      </c>
      <c r="B285" s="881"/>
      <c r="D285" s="1534" t="s">
        <v>1648</v>
      </c>
      <c r="E285" s="1535"/>
      <c r="F285" s="1535"/>
      <c r="G285" s="1536"/>
      <c r="H285" s="882">
        <f>+SUM(H286:H288)</f>
        <v>0</v>
      </c>
      <c r="I285" s="882">
        <f t="shared" ref="I285:L285" si="93">+SUM(I286:I288)</f>
        <v>0</v>
      </c>
      <c r="J285" s="882">
        <f t="shared" si="93"/>
        <v>0</v>
      </c>
      <c r="K285" s="882">
        <f t="shared" si="93"/>
        <v>0</v>
      </c>
      <c r="L285" s="882">
        <f t="shared" si="93"/>
        <v>0</v>
      </c>
      <c r="M285" s="1161">
        <f>+L285-'110 Renta 20x3'!Q47</f>
        <v>0</v>
      </c>
    </row>
    <row r="286" spans="1:13" outlineLevel="1" x14ac:dyDescent="0.2">
      <c r="A286" s="884">
        <v>273</v>
      </c>
      <c r="B286" s="881"/>
      <c r="D286" s="1531" t="s">
        <v>1649</v>
      </c>
      <c r="E286" s="1532"/>
      <c r="F286" s="1532"/>
      <c r="G286" s="1533"/>
      <c r="H286" s="1120">
        <f>-SUMIF('Sumaria renta 20x3'!G:G,'2516 20x3'!A286,'Sumaria renta 20x3'!C:C)</f>
        <v>0</v>
      </c>
      <c r="I286" s="1118"/>
      <c r="J286" s="842">
        <f t="shared" ref="J286:J288" si="94">+IF((H286&gt;L286),(H286-L286),0)</f>
        <v>0</v>
      </c>
      <c r="K286" s="842">
        <f t="shared" ref="K286:K288" si="95">+IF((H286&lt;L286),(L286-H286),0)</f>
        <v>0</v>
      </c>
      <c r="L286" s="842">
        <f>-SUMIF('Sumaria renta 20x3'!G:G,'2516 20x3'!A286,'Sumaria renta 20x3'!E:E)</f>
        <v>0</v>
      </c>
    </row>
    <row r="287" spans="1:13" outlineLevel="1" x14ac:dyDescent="0.2">
      <c r="A287" s="884">
        <v>274</v>
      </c>
      <c r="B287" s="881"/>
      <c r="D287" s="1531" t="s">
        <v>1650</v>
      </c>
      <c r="E287" s="1532"/>
      <c r="F287" s="1532"/>
      <c r="G287" s="1533"/>
      <c r="H287" s="1120">
        <f>+SUMIF('Sumaria renta 20x3'!G:G,'2516 20x3'!A287,'Sumaria renta 20x3'!C:C)</f>
        <v>0</v>
      </c>
      <c r="I287" s="1118"/>
      <c r="J287" s="842">
        <f t="shared" si="94"/>
        <v>0</v>
      </c>
      <c r="K287" s="842">
        <f t="shared" si="95"/>
        <v>0</v>
      </c>
      <c r="L287" s="842">
        <f>+SUMIF('Sumaria renta 20x3'!G:G,'2516 20x3'!A287,'Sumaria renta 20x3'!E:E)</f>
        <v>0</v>
      </c>
    </row>
    <row r="288" spans="1:13" outlineLevel="1" x14ac:dyDescent="0.2">
      <c r="A288" s="884">
        <v>275</v>
      </c>
      <c r="B288" s="881"/>
      <c r="D288" s="1531" t="s">
        <v>1651</v>
      </c>
      <c r="E288" s="1532"/>
      <c r="F288" s="1532"/>
      <c r="G288" s="1533"/>
      <c r="H288" s="1120">
        <f>+SUMIF('Sumaria renta 20x3'!G:G,'2516 20x3'!A288,'Sumaria renta 20x3'!C:C)</f>
        <v>0</v>
      </c>
      <c r="I288" s="1118"/>
      <c r="J288" s="842">
        <f t="shared" si="94"/>
        <v>0</v>
      </c>
      <c r="K288" s="842">
        <f t="shared" si="95"/>
        <v>0</v>
      </c>
      <c r="L288" s="842">
        <f>+SUMIF('Sumaria renta 20x3'!G:G,'2516 20x3'!A288,'Sumaria renta 20x3'!E:E)</f>
        <v>0</v>
      </c>
    </row>
    <row r="289" spans="1:13" outlineLevel="1" x14ac:dyDescent="0.2">
      <c r="A289" s="880">
        <v>2000</v>
      </c>
      <c r="B289" s="881"/>
      <c r="D289" s="1534" t="s">
        <v>1652</v>
      </c>
      <c r="E289" s="1535"/>
      <c r="F289" s="1535"/>
      <c r="G289" s="1536"/>
      <c r="H289" s="970">
        <f>+SUM(H290:H296)</f>
        <v>0</v>
      </c>
      <c r="I289" s="970">
        <f t="shared" ref="I289:L289" si="96">+SUM(I290:I296)</f>
        <v>0</v>
      </c>
      <c r="J289" s="970">
        <f t="shared" si="96"/>
        <v>0</v>
      </c>
      <c r="K289" s="970">
        <f t="shared" si="96"/>
        <v>0</v>
      </c>
      <c r="L289" s="970">
        <f t="shared" si="96"/>
        <v>0</v>
      </c>
      <c r="M289" s="1161">
        <f>+L289-'110 Renta 20x3'!Q36</f>
        <v>0</v>
      </c>
    </row>
    <row r="290" spans="1:13" outlineLevel="1" x14ac:dyDescent="0.2">
      <c r="A290" s="884">
        <v>277</v>
      </c>
      <c r="B290" s="881"/>
      <c r="D290" s="1531" t="s">
        <v>1653</v>
      </c>
      <c r="E290" s="1532"/>
      <c r="F290" s="1532"/>
      <c r="G290" s="1533"/>
      <c r="H290" s="1120">
        <f>+SUMIF('Sumaria renta 20x3'!G:G,'2516 20x3'!A290,'Sumaria renta 20x3'!C:C)</f>
        <v>0</v>
      </c>
      <c r="I290" s="1118"/>
      <c r="J290" s="842">
        <f t="shared" ref="J290:J296" si="97">+IF((H290&gt;L290),(H290-L290),0)</f>
        <v>0</v>
      </c>
      <c r="K290" s="842">
        <f t="shared" ref="K290:K296" si="98">+IF((H290&lt;L290),(L290-H290),0)</f>
        <v>0</v>
      </c>
      <c r="L290" s="842">
        <f>+SUMIF('Sumaria renta 20x3'!G:G,'2516 20x3'!A290,'Sumaria renta 20x3'!E:E)</f>
        <v>0</v>
      </c>
    </row>
    <row r="291" spans="1:13" outlineLevel="1" x14ac:dyDescent="0.2">
      <c r="A291" s="884">
        <v>278</v>
      </c>
      <c r="B291" s="881"/>
      <c r="D291" s="1531" t="s">
        <v>1654</v>
      </c>
      <c r="E291" s="1532"/>
      <c r="F291" s="1532"/>
      <c r="G291" s="1533"/>
      <c r="H291" s="1120">
        <f>+SUMIF('Sumaria renta 20x3'!G:G,'2516 20x3'!A291,'Sumaria renta 20x3'!C:C)</f>
        <v>0</v>
      </c>
      <c r="I291" s="1118"/>
      <c r="J291" s="842">
        <f t="shared" si="97"/>
        <v>0</v>
      </c>
      <c r="K291" s="842">
        <f t="shared" si="98"/>
        <v>0</v>
      </c>
      <c r="L291" s="842">
        <f>+SUMIF('Sumaria renta 20x3'!G:G,'2516 20x3'!A291,'Sumaria renta 20x3'!E:E)</f>
        <v>0</v>
      </c>
    </row>
    <row r="292" spans="1:13" outlineLevel="1" x14ac:dyDescent="0.2">
      <c r="A292" s="884">
        <v>279</v>
      </c>
      <c r="B292" s="881"/>
      <c r="D292" s="1531" t="s">
        <v>1655</v>
      </c>
      <c r="E292" s="1532"/>
      <c r="F292" s="1532"/>
      <c r="G292" s="1533"/>
      <c r="H292" s="1120">
        <f>+SUMIF('Sumaria renta 20x3'!G:G,'2516 20x3'!A292,'Sumaria renta 20x3'!C:C)</f>
        <v>0</v>
      </c>
      <c r="I292" s="1118"/>
      <c r="J292" s="842">
        <f t="shared" si="97"/>
        <v>0</v>
      </c>
      <c r="K292" s="842">
        <f t="shared" si="98"/>
        <v>0</v>
      </c>
      <c r="L292" s="842">
        <f>+SUMIF('Sumaria renta 20x3'!G:G,'2516 20x3'!A292,'Sumaria renta 20x3'!E:E)</f>
        <v>0</v>
      </c>
    </row>
    <row r="293" spans="1:13" outlineLevel="1" x14ac:dyDescent="0.2">
      <c r="A293" s="884">
        <v>280</v>
      </c>
      <c r="B293" s="881"/>
      <c r="D293" s="1531" t="s">
        <v>1656</v>
      </c>
      <c r="E293" s="1532"/>
      <c r="F293" s="1532"/>
      <c r="G293" s="1533"/>
      <c r="H293" s="1120">
        <f>+SUMIF('Sumaria renta 20x3'!G:G,'2516 20x3'!A293,'Sumaria renta 20x3'!C:C)</f>
        <v>0</v>
      </c>
      <c r="I293" s="1118"/>
      <c r="J293" s="842">
        <f t="shared" si="97"/>
        <v>0</v>
      </c>
      <c r="K293" s="842">
        <f t="shared" si="98"/>
        <v>0</v>
      </c>
      <c r="L293" s="842">
        <f>+SUMIF('Sumaria renta 20x3'!G:G,'2516 20x3'!A293,'Sumaria renta 20x3'!E:E)</f>
        <v>0</v>
      </c>
    </row>
    <row r="294" spans="1:13" outlineLevel="1" x14ac:dyDescent="0.2">
      <c r="A294" s="884">
        <v>281</v>
      </c>
      <c r="B294" s="881"/>
      <c r="D294" s="1531" t="s">
        <v>1657</v>
      </c>
      <c r="E294" s="1532"/>
      <c r="F294" s="1532"/>
      <c r="G294" s="1533"/>
      <c r="H294" s="1120">
        <f>+SUMIF('Sumaria renta 20x3'!G:G,'2516 20x3'!A294,'Sumaria renta 20x3'!C:C)</f>
        <v>0</v>
      </c>
      <c r="I294" s="1118"/>
      <c r="J294" s="842">
        <f t="shared" si="97"/>
        <v>0</v>
      </c>
      <c r="K294" s="842">
        <f t="shared" si="98"/>
        <v>0</v>
      </c>
      <c r="L294" s="842">
        <f>+SUMIF('Sumaria renta 20x3'!G:G,'2516 20x3'!A294,'Sumaria renta 20x3'!E:E)</f>
        <v>0</v>
      </c>
    </row>
    <row r="295" spans="1:13" outlineLevel="1" x14ac:dyDescent="0.2">
      <c r="A295" s="884">
        <v>282</v>
      </c>
      <c r="B295" s="881"/>
      <c r="D295" s="1531" t="s">
        <v>154</v>
      </c>
      <c r="E295" s="1532"/>
      <c r="F295" s="1532"/>
      <c r="G295" s="1533"/>
      <c r="H295" s="1120">
        <f>+SUMIF('Sumaria renta 20x3'!G:G,'2516 20x3'!A295,'Sumaria renta 20x3'!C:C)</f>
        <v>0</v>
      </c>
      <c r="I295" s="1118"/>
      <c r="J295" s="842">
        <f t="shared" si="97"/>
        <v>0</v>
      </c>
      <c r="K295" s="842">
        <f t="shared" si="98"/>
        <v>0</v>
      </c>
      <c r="L295" s="842">
        <f>+SUMIF('Sumaria renta 20x3'!G:G,'2516 20x3'!A295,'Sumaria renta 20x3'!E:E)</f>
        <v>0</v>
      </c>
    </row>
    <row r="296" spans="1:13" outlineLevel="1" x14ac:dyDescent="0.2">
      <c r="A296" s="884">
        <v>283</v>
      </c>
      <c r="B296" s="881"/>
      <c r="D296" s="1531" t="s">
        <v>1658</v>
      </c>
      <c r="E296" s="1532"/>
      <c r="F296" s="1532"/>
      <c r="G296" s="1533"/>
      <c r="H296" s="1120">
        <f>+SUMIF('Sumaria renta 20x3'!G:G,'2516 20x3'!A296,'Sumaria renta 20x3'!C:C)</f>
        <v>0</v>
      </c>
      <c r="I296" s="1118"/>
      <c r="J296" s="842">
        <f t="shared" si="97"/>
        <v>0</v>
      </c>
      <c r="K296" s="842">
        <f t="shared" si="98"/>
        <v>0</v>
      </c>
      <c r="L296" s="842">
        <f>+SUMIF('Sumaria renta 20x3'!G:G,'2516 20x3'!A296,'Sumaria renta 20x3'!E:E)</f>
        <v>0</v>
      </c>
    </row>
    <row r="297" spans="1:13" ht="28.5" customHeight="1" outlineLevel="1" x14ac:dyDescent="0.2">
      <c r="A297" s="880">
        <v>2000</v>
      </c>
      <c r="B297" s="881"/>
      <c r="D297" s="1534" t="s">
        <v>1659</v>
      </c>
      <c r="E297" s="1535"/>
      <c r="F297" s="1535"/>
      <c r="G297" s="1536"/>
      <c r="H297" s="1136">
        <f>+SUM(H298:H307)</f>
        <v>0</v>
      </c>
      <c r="I297" s="1136">
        <f t="shared" ref="I297:L297" si="99">+SUM(I298:I307)</f>
        <v>0</v>
      </c>
      <c r="J297" s="1136">
        <f t="shared" si="99"/>
        <v>0</v>
      </c>
      <c r="K297" s="1136">
        <f t="shared" si="99"/>
        <v>0</v>
      </c>
      <c r="L297" s="1136">
        <f t="shared" si="99"/>
        <v>0</v>
      </c>
    </row>
    <row r="298" spans="1:13" outlineLevel="1" x14ac:dyDescent="0.2">
      <c r="A298" s="884">
        <v>285</v>
      </c>
      <c r="B298" s="881"/>
      <c r="D298" s="1531" t="s">
        <v>1660</v>
      </c>
      <c r="E298" s="1532"/>
      <c r="F298" s="1532"/>
      <c r="G298" s="1533"/>
      <c r="H298" s="1120">
        <f>+SUMIF('Sumaria renta 20x3'!G:G,'2516 20x3'!A298,'Sumaria renta 20x3'!C:C)</f>
        <v>0</v>
      </c>
      <c r="I298" s="1118"/>
      <c r="J298" s="842">
        <f t="shared" ref="J298" si="100">+IF((H298&gt;L298),(H298-L298),0)</f>
        <v>0</v>
      </c>
      <c r="K298" s="842">
        <f t="shared" ref="K298" si="101">+IF((H298&lt;L298),(L298-H298),0)</f>
        <v>0</v>
      </c>
      <c r="L298" s="842">
        <f>+SUMIF('Sumaria renta 20x3'!G:G,'2516 20x3'!A298,'Sumaria renta 20x3'!E:E)</f>
        <v>0</v>
      </c>
    </row>
    <row r="299" spans="1:13" outlineLevel="1" x14ac:dyDescent="0.2">
      <c r="A299" s="884">
        <v>286</v>
      </c>
      <c r="B299" s="881"/>
      <c r="D299" s="1531" t="s">
        <v>1661</v>
      </c>
      <c r="E299" s="1532"/>
      <c r="F299" s="1532"/>
      <c r="G299" s="1533"/>
      <c r="H299" s="1120">
        <f>+SUMIF('Sumaria renta 20x3'!G:G,'2516 20x3'!A299,'Sumaria renta 20x3'!C:C)</f>
        <v>0</v>
      </c>
      <c r="I299" s="1118"/>
      <c r="J299" s="842">
        <f t="shared" ref="J299:J307" si="102">+IF((H299&gt;L299),(H299-L299),0)</f>
        <v>0</v>
      </c>
      <c r="K299" s="842">
        <f t="shared" ref="K299:K307" si="103">+IF((H299&lt;L299),(L299-H299),0)</f>
        <v>0</v>
      </c>
      <c r="L299" s="842">
        <f>+SUMIF('Sumaria renta 20x3'!G:G,'2516 20x3'!A299,'Sumaria renta 20x3'!E:E)</f>
        <v>0</v>
      </c>
    </row>
    <row r="300" spans="1:13" ht="23.25" customHeight="1" outlineLevel="1" x14ac:dyDescent="0.2">
      <c r="A300" s="886">
        <v>287</v>
      </c>
      <c r="B300" s="881"/>
      <c r="D300" s="1531" t="s">
        <v>2203</v>
      </c>
      <c r="E300" s="1532"/>
      <c r="F300" s="1532"/>
      <c r="G300" s="1533"/>
      <c r="H300" s="1120">
        <f>+SUMIF('Sumaria renta 20x3'!G:G,'2516 20x3'!A300,'Sumaria renta 20x3'!C:C)</f>
        <v>0</v>
      </c>
      <c r="I300" s="1118"/>
      <c r="J300" s="842">
        <f t="shared" si="102"/>
        <v>0</v>
      </c>
      <c r="K300" s="842">
        <f t="shared" si="103"/>
        <v>0</v>
      </c>
      <c r="L300" s="842">
        <f>+SUMIF('Sumaria renta 20x3'!G:G,'2516 20x3'!A300,'Sumaria renta 20x3'!E:E)</f>
        <v>0</v>
      </c>
    </row>
    <row r="301" spans="1:13" ht="37.5" customHeight="1" outlineLevel="1" x14ac:dyDescent="0.2">
      <c r="A301" s="886">
        <v>288</v>
      </c>
      <c r="B301" s="881"/>
      <c r="D301" s="1531" t="s">
        <v>1173</v>
      </c>
      <c r="E301" s="1532"/>
      <c r="F301" s="1532"/>
      <c r="G301" s="1533"/>
      <c r="H301" s="1120">
        <f>+SUMIF('Sumaria renta 20x3'!G:G,'2516 20x3'!A301,'Sumaria renta 20x3'!C:C)</f>
        <v>0</v>
      </c>
      <c r="I301" s="1118"/>
      <c r="J301" s="842">
        <f t="shared" si="102"/>
        <v>0</v>
      </c>
      <c r="K301" s="842">
        <f t="shared" si="103"/>
        <v>0</v>
      </c>
      <c r="L301" s="842">
        <f>+SUMIF('Sumaria renta 20x3'!G:G,'2516 20x3'!A301,'Sumaria renta 20x3'!E:E)</f>
        <v>0</v>
      </c>
    </row>
    <row r="302" spans="1:13" ht="43.5" customHeight="1" outlineLevel="1" x14ac:dyDescent="0.2">
      <c r="A302" s="886">
        <v>900</v>
      </c>
      <c r="B302" s="881"/>
      <c r="D302" s="1531" t="s">
        <v>1175</v>
      </c>
      <c r="E302" s="1532"/>
      <c r="F302" s="1532"/>
      <c r="G302" s="1533"/>
      <c r="H302" s="1120">
        <f>+SUMIF('Sumaria renta 20x3'!G:G,'2516 20x3'!A302,'Sumaria renta 20x3'!C:C)</f>
        <v>0</v>
      </c>
      <c r="I302" s="1118"/>
      <c r="J302" s="842">
        <f t="shared" si="102"/>
        <v>0</v>
      </c>
      <c r="K302" s="842">
        <f t="shared" si="103"/>
        <v>0</v>
      </c>
      <c r="L302" s="842">
        <f>+SUMIF('Sumaria renta 20x3'!G:G,'2516 20x3'!A302,'Sumaria renta 20x3'!E:E)</f>
        <v>0</v>
      </c>
    </row>
    <row r="303" spans="1:13" ht="33" customHeight="1" outlineLevel="1" x14ac:dyDescent="0.2">
      <c r="A303" s="886">
        <v>901</v>
      </c>
      <c r="B303" s="881"/>
      <c r="D303" s="1531" t="s">
        <v>1177</v>
      </c>
      <c r="E303" s="1532"/>
      <c r="F303" s="1532"/>
      <c r="G303" s="1533"/>
      <c r="H303" s="1120">
        <f>+SUMIF('Sumaria renta 20x3'!G:G,'2516 20x3'!A303,'Sumaria renta 20x3'!C:C)</f>
        <v>0</v>
      </c>
      <c r="I303" s="1118"/>
      <c r="J303" s="842">
        <f t="shared" si="102"/>
        <v>0</v>
      </c>
      <c r="K303" s="842">
        <f t="shared" si="103"/>
        <v>0</v>
      </c>
      <c r="L303" s="842">
        <f>+SUMIF('Sumaria renta 20x3'!G:G,'2516 20x3'!A303,'Sumaria renta 20x3'!E:E)</f>
        <v>0</v>
      </c>
    </row>
    <row r="304" spans="1:13" ht="23.25" customHeight="1" outlineLevel="1" x14ac:dyDescent="0.2">
      <c r="A304" s="886">
        <v>902</v>
      </c>
      <c r="B304" s="881"/>
      <c r="D304" s="1531" t="s">
        <v>1179</v>
      </c>
      <c r="E304" s="1532"/>
      <c r="F304" s="1532"/>
      <c r="G304" s="1533"/>
      <c r="H304" s="1120">
        <f>+SUMIF('Sumaria renta 20x3'!G:G,'2516 20x3'!A304,'Sumaria renta 20x3'!C:C)</f>
        <v>0</v>
      </c>
      <c r="I304" s="1118"/>
      <c r="J304" s="842">
        <f t="shared" si="102"/>
        <v>0</v>
      </c>
      <c r="K304" s="842">
        <f t="shared" si="103"/>
        <v>0</v>
      </c>
      <c r="L304" s="842">
        <f>+SUMIF('Sumaria renta 20x3'!G:G,'2516 20x3'!A304,'Sumaria renta 20x3'!E:E)</f>
        <v>0</v>
      </c>
    </row>
    <row r="305" spans="1:12" ht="23.25" customHeight="1" outlineLevel="1" x14ac:dyDescent="0.2">
      <c r="A305" s="886">
        <v>903</v>
      </c>
      <c r="B305" s="881"/>
      <c r="D305" s="1531" t="s">
        <v>1181</v>
      </c>
      <c r="E305" s="1532"/>
      <c r="F305" s="1532"/>
      <c r="G305" s="1533"/>
      <c r="H305" s="1120">
        <f>+SUMIF('Sumaria renta 20x3'!G:G,'2516 20x3'!A305,'Sumaria renta 20x3'!C:C)</f>
        <v>0</v>
      </c>
      <c r="I305" s="1118"/>
      <c r="J305" s="842">
        <f t="shared" si="102"/>
        <v>0</v>
      </c>
      <c r="K305" s="842">
        <f t="shared" si="103"/>
        <v>0</v>
      </c>
      <c r="L305" s="842">
        <f>+SUMIF('Sumaria renta 20x3'!G:G,'2516 20x3'!A305,'Sumaria renta 20x3'!E:E)</f>
        <v>0</v>
      </c>
    </row>
    <row r="306" spans="1:12" ht="23.25" customHeight="1" outlineLevel="1" x14ac:dyDescent="0.2">
      <c r="A306" s="886">
        <v>289</v>
      </c>
      <c r="B306" s="881"/>
      <c r="D306" s="1531" t="s">
        <v>1183</v>
      </c>
      <c r="E306" s="1532"/>
      <c r="F306" s="1532"/>
      <c r="G306" s="1533"/>
      <c r="H306" s="1120">
        <f>+SUMIF('Sumaria renta 20x3'!G:G,'2516 20x3'!A306,'Sumaria renta 20x3'!C:C)</f>
        <v>0</v>
      </c>
      <c r="I306" s="1118"/>
      <c r="J306" s="842">
        <f t="shared" si="102"/>
        <v>0</v>
      </c>
      <c r="K306" s="842">
        <f t="shared" si="103"/>
        <v>0</v>
      </c>
      <c r="L306" s="842">
        <f>+SUMIF('Sumaria renta 20x3'!G:G,'2516 20x3'!A306,'Sumaria renta 20x3'!E:E)</f>
        <v>0</v>
      </c>
    </row>
    <row r="307" spans="1:12" ht="23.25" customHeight="1" outlineLevel="1" x14ac:dyDescent="0.2">
      <c r="A307" s="886">
        <v>290</v>
      </c>
      <c r="B307" s="881"/>
      <c r="D307" s="1531" t="s">
        <v>1185</v>
      </c>
      <c r="E307" s="1532"/>
      <c r="F307" s="1532"/>
      <c r="G307" s="1533"/>
      <c r="H307" s="1120">
        <f>+SUMIF('Sumaria renta 20x3'!G:G,'2516 20x3'!A307,'Sumaria renta 20x3'!C:C)</f>
        <v>0</v>
      </c>
      <c r="I307" s="1118"/>
      <c r="J307" s="842">
        <f t="shared" si="102"/>
        <v>0</v>
      </c>
      <c r="K307" s="842">
        <f t="shared" si="103"/>
        <v>0</v>
      </c>
      <c r="L307" s="842">
        <f>+SUMIF('Sumaria renta 20x3'!G:G,'2516 20x3'!A307,'Sumaria renta 20x3'!E:E)</f>
        <v>0</v>
      </c>
    </row>
    <row r="308" spans="1:12" outlineLevel="1" x14ac:dyDescent="0.2">
      <c r="A308" s="880">
        <v>2000</v>
      </c>
      <c r="B308" s="881"/>
      <c r="D308" s="1534" t="s">
        <v>1662</v>
      </c>
      <c r="E308" s="1535"/>
      <c r="F308" s="1535"/>
      <c r="G308" s="1536"/>
      <c r="H308" s="882">
        <f>+SUM(H309:H313)</f>
        <v>0</v>
      </c>
      <c r="I308" s="882">
        <f t="shared" ref="I308:L308" si="104">+SUM(I309:I313)</f>
        <v>0</v>
      </c>
      <c r="J308" s="882">
        <f t="shared" si="104"/>
        <v>0</v>
      </c>
      <c r="K308" s="882">
        <f t="shared" si="104"/>
        <v>0</v>
      </c>
      <c r="L308" s="882">
        <f t="shared" si="104"/>
        <v>0</v>
      </c>
    </row>
    <row r="309" spans="1:12" outlineLevel="1" x14ac:dyDescent="0.2">
      <c r="A309" s="886">
        <v>292</v>
      </c>
      <c r="B309" s="881"/>
      <c r="D309" s="1531" t="s">
        <v>72</v>
      </c>
      <c r="E309" s="1532"/>
      <c r="F309" s="1532"/>
      <c r="G309" s="1533"/>
      <c r="H309" s="1120">
        <f>+SUMIF('Sumaria renta 20x3'!G:G,'2516 20x3'!A309,'Sumaria renta 20x3'!C:C)</f>
        <v>0</v>
      </c>
      <c r="I309" s="1118"/>
      <c r="J309" s="842">
        <f t="shared" ref="J309:J313" si="105">+IF((H309&gt;L309),(H309-L309),0)</f>
        <v>0</v>
      </c>
      <c r="K309" s="842">
        <f t="shared" ref="K309:K313" si="106">+IF((H309&lt;L309),(L309-H309),0)</f>
        <v>0</v>
      </c>
      <c r="L309" s="842">
        <f>+SUMIF('Sumaria renta 20x3'!G:G,'2516 20x3'!A309,'Sumaria renta 20x3'!E:E)</f>
        <v>0</v>
      </c>
    </row>
    <row r="310" spans="1:12" outlineLevel="1" x14ac:dyDescent="0.2">
      <c r="A310" s="886">
        <v>293</v>
      </c>
      <c r="B310" s="881"/>
      <c r="D310" s="1531" t="s">
        <v>59</v>
      </c>
      <c r="E310" s="1532"/>
      <c r="F310" s="1532"/>
      <c r="G310" s="1533"/>
      <c r="H310" s="1120">
        <f>+SUMIF('Sumaria renta 20x3'!G:G,'2516 20x3'!A310,'Sumaria renta 20x3'!C:C)</f>
        <v>0</v>
      </c>
      <c r="I310" s="1118"/>
      <c r="J310" s="842">
        <f t="shared" si="105"/>
        <v>0</v>
      </c>
      <c r="K310" s="842">
        <f t="shared" si="106"/>
        <v>0</v>
      </c>
      <c r="L310" s="842">
        <f>+SUMIF('Sumaria renta 20x3'!G:G,'2516 20x3'!A310,'Sumaria renta 20x3'!E:E)</f>
        <v>0</v>
      </c>
    </row>
    <row r="311" spans="1:12" outlineLevel="1" x14ac:dyDescent="0.2">
      <c r="A311" s="886">
        <v>294</v>
      </c>
      <c r="B311" s="881"/>
      <c r="D311" s="1531" t="s">
        <v>1663</v>
      </c>
      <c r="E311" s="1532"/>
      <c r="F311" s="1532"/>
      <c r="G311" s="1533"/>
      <c r="H311" s="1120">
        <f>+SUMIF('Sumaria renta 20x3'!G:G,'2516 20x3'!A311,'Sumaria renta 20x3'!C:C)</f>
        <v>0</v>
      </c>
      <c r="I311" s="1118"/>
      <c r="J311" s="842">
        <f t="shared" si="105"/>
        <v>0</v>
      </c>
      <c r="K311" s="842">
        <f t="shared" si="106"/>
        <v>0</v>
      </c>
      <c r="L311" s="842">
        <f>+SUMIF('Sumaria renta 20x3'!G:G,'2516 20x3'!A311,'Sumaria renta 20x3'!E:E)</f>
        <v>0</v>
      </c>
    </row>
    <row r="312" spans="1:12" outlineLevel="1" x14ac:dyDescent="0.2">
      <c r="A312" s="884">
        <v>295</v>
      </c>
      <c r="B312" s="881"/>
      <c r="D312" s="1531" t="s">
        <v>1664</v>
      </c>
      <c r="E312" s="1532"/>
      <c r="F312" s="1532"/>
      <c r="G312" s="1533"/>
      <c r="H312" s="1120">
        <f>+SUMIF('Sumaria renta 20x3'!G:G,'2516 20x3'!A312,'Sumaria renta 20x3'!C:C)</f>
        <v>0</v>
      </c>
      <c r="I312" s="1118"/>
      <c r="J312" s="842">
        <f t="shared" si="105"/>
        <v>0</v>
      </c>
      <c r="K312" s="842">
        <f t="shared" si="106"/>
        <v>0</v>
      </c>
      <c r="L312" s="842">
        <f>+SUMIF('Sumaria renta 20x3'!G:G,'2516 20x3'!A312,'Sumaria renta 20x3'!E:E)</f>
        <v>0</v>
      </c>
    </row>
    <row r="313" spans="1:12" outlineLevel="1" x14ac:dyDescent="0.2">
      <c r="A313" s="884">
        <v>296</v>
      </c>
      <c r="B313" s="881"/>
      <c r="D313" s="1531" t="s">
        <v>1429</v>
      </c>
      <c r="E313" s="1532"/>
      <c r="F313" s="1532"/>
      <c r="G313" s="1533"/>
      <c r="H313" s="1120">
        <f>+SUMIF('Sumaria renta 20x3'!G:G,'2516 20x3'!A313,'Sumaria renta 20x3'!C:C)</f>
        <v>0</v>
      </c>
      <c r="I313" s="1118"/>
      <c r="J313" s="842">
        <f t="shared" si="105"/>
        <v>0</v>
      </c>
      <c r="K313" s="842">
        <f t="shared" si="106"/>
        <v>0</v>
      </c>
      <c r="L313" s="842">
        <f>+SUMIF('Sumaria renta 20x3'!G:G,'2516 20x3'!A313,'Sumaria renta 20x3'!E:E)</f>
        <v>0</v>
      </c>
    </row>
    <row r="314" spans="1:12" ht="27" customHeight="1" outlineLevel="1" x14ac:dyDescent="0.2">
      <c r="A314" s="880">
        <v>2000</v>
      </c>
      <c r="B314" s="881"/>
      <c r="D314" s="1534" t="s">
        <v>1665</v>
      </c>
      <c r="E314" s="1535"/>
      <c r="F314" s="1535"/>
      <c r="G314" s="1536"/>
      <c r="H314" s="882">
        <f>+SUM(H315:H322)</f>
        <v>0</v>
      </c>
      <c r="I314" s="882">
        <f t="shared" ref="I314:L314" si="107">+SUM(I315:I322)</f>
        <v>0</v>
      </c>
      <c r="J314" s="882">
        <f t="shared" si="107"/>
        <v>0</v>
      </c>
      <c r="K314" s="882">
        <f t="shared" si="107"/>
        <v>0</v>
      </c>
      <c r="L314" s="882">
        <f t="shared" si="107"/>
        <v>0</v>
      </c>
    </row>
    <row r="315" spans="1:12" outlineLevel="1" x14ac:dyDescent="0.2">
      <c r="A315" s="884">
        <v>298</v>
      </c>
      <c r="B315" s="881"/>
      <c r="D315" s="1531" t="s">
        <v>431</v>
      </c>
      <c r="E315" s="1532"/>
      <c r="F315" s="1532"/>
      <c r="G315" s="1533"/>
      <c r="H315" s="1120">
        <f>+SUMIF('Sumaria renta 20x3'!G:G,'2516 20x3'!A315,'Sumaria renta 20x3'!C:C)</f>
        <v>0</v>
      </c>
      <c r="I315" s="1118"/>
      <c r="J315" s="842">
        <f t="shared" ref="J315:J322" si="108">+IF((H315&gt;L315),(H315-L315),0)</f>
        <v>0</v>
      </c>
      <c r="K315" s="842">
        <f t="shared" ref="K315:K322" si="109">+IF((H315&lt;L315),(L315-H315),0)</f>
        <v>0</v>
      </c>
      <c r="L315" s="842">
        <f>+SUMIF('Sumaria renta 20x3'!G:G,'2516 20x3'!A315,'Sumaria renta 20x3'!E:E)</f>
        <v>0</v>
      </c>
    </row>
    <row r="316" spans="1:12" outlineLevel="1" x14ac:dyDescent="0.2">
      <c r="A316" s="884">
        <v>299</v>
      </c>
      <c r="B316" s="881"/>
      <c r="D316" s="1531" t="s">
        <v>1666</v>
      </c>
      <c r="E316" s="1532"/>
      <c r="F316" s="1532"/>
      <c r="G316" s="1533"/>
      <c r="H316" s="1120">
        <f>+SUMIF('Sumaria renta 20x3'!G:G,'2516 20x3'!A316,'Sumaria renta 20x3'!C:C)</f>
        <v>0</v>
      </c>
      <c r="I316" s="1118"/>
      <c r="J316" s="842">
        <f t="shared" si="108"/>
        <v>0</v>
      </c>
      <c r="K316" s="842">
        <f t="shared" si="109"/>
        <v>0</v>
      </c>
      <c r="L316" s="842">
        <f>+SUMIF('Sumaria renta 20x3'!G:G,'2516 20x3'!A316,'Sumaria renta 20x3'!E:E)</f>
        <v>0</v>
      </c>
    </row>
    <row r="317" spans="1:12" outlineLevel="1" x14ac:dyDescent="0.2">
      <c r="A317" s="884">
        <v>300</v>
      </c>
      <c r="B317" s="881"/>
      <c r="D317" s="1531" t="s">
        <v>1667</v>
      </c>
      <c r="E317" s="1532"/>
      <c r="F317" s="1532"/>
      <c r="G317" s="1533"/>
      <c r="H317" s="1120">
        <f>+SUMIF('Sumaria renta 20x3'!G:G,'2516 20x3'!A317,'Sumaria renta 20x3'!C:C)</f>
        <v>0</v>
      </c>
      <c r="I317" s="1118"/>
      <c r="J317" s="842">
        <f t="shared" si="108"/>
        <v>0</v>
      </c>
      <c r="K317" s="842">
        <f t="shared" si="109"/>
        <v>0</v>
      </c>
      <c r="L317" s="842">
        <f>+SUMIF('Sumaria renta 20x3'!G:G,'2516 20x3'!A317,'Sumaria renta 20x3'!E:E)</f>
        <v>0</v>
      </c>
    </row>
    <row r="318" spans="1:12" outlineLevel="1" x14ac:dyDescent="0.2">
      <c r="A318" s="884">
        <v>301</v>
      </c>
      <c r="B318" s="881"/>
      <c r="D318" s="1531" t="s">
        <v>1668</v>
      </c>
      <c r="E318" s="1532"/>
      <c r="F318" s="1532"/>
      <c r="G318" s="1533"/>
      <c r="H318" s="1120">
        <f>+SUMIF('Sumaria renta 20x3'!G:G,'2516 20x3'!A318,'Sumaria renta 20x3'!C:C)</f>
        <v>0</v>
      </c>
      <c r="I318" s="1118"/>
      <c r="J318" s="842">
        <f t="shared" si="108"/>
        <v>0</v>
      </c>
      <c r="K318" s="842">
        <f t="shared" si="109"/>
        <v>0</v>
      </c>
      <c r="L318" s="842">
        <f>+SUMIF('Sumaria renta 20x3'!G:G,'2516 20x3'!A318,'Sumaria renta 20x3'!E:E)</f>
        <v>0</v>
      </c>
    </row>
    <row r="319" spans="1:12" outlineLevel="1" x14ac:dyDescent="0.2">
      <c r="A319" s="884">
        <v>302</v>
      </c>
      <c r="B319" s="881"/>
      <c r="D319" s="1531" t="s">
        <v>1669</v>
      </c>
      <c r="E319" s="1532"/>
      <c r="F319" s="1532"/>
      <c r="G319" s="1533"/>
      <c r="H319" s="1120">
        <f>+SUMIF('Sumaria renta 20x3'!G:G,'2516 20x3'!A319,'Sumaria renta 20x3'!C:C)</f>
        <v>0</v>
      </c>
      <c r="I319" s="1118"/>
      <c r="J319" s="842">
        <f t="shared" si="108"/>
        <v>0</v>
      </c>
      <c r="K319" s="842">
        <f t="shared" si="109"/>
        <v>0</v>
      </c>
      <c r="L319" s="842">
        <f>+SUMIF('Sumaria renta 20x3'!G:G,'2516 20x3'!A319,'Sumaria renta 20x3'!E:E)</f>
        <v>0</v>
      </c>
    </row>
    <row r="320" spans="1:12" outlineLevel="1" x14ac:dyDescent="0.2">
      <c r="A320" s="884">
        <v>303</v>
      </c>
      <c r="B320" s="881"/>
      <c r="D320" s="1531" t="s">
        <v>1670</v>
      </c>
      <c r="E320" s="1532"/>
      <c r="F320" s="1532"/>
      <c r="G320" s="1533"/>
      <c r="H320" s="1120">
        <f>+SUMIF('Sumaria renta 20x3'!G:G,'2516 20x3'!A320,'Sumaria renta 20x3'!C:C)</f>
        <v>0</v>
      </c>
      <c r="I320" s="1118"/>
      <c r="J320" s="842">
        <f t="shared" si="108"/>
        <v>0</v>
      </c>
      <c r="K320" s="842">
        <f t="shared" si="109"/>
        <v>0</v>
      </c>
      <c r="L320" s="842">
        <f>+SUMIF('Sumaria renta 20x3'!G:G,'2516 20x3'!A320,'Sumaria renta 20x3'!E:E)</f>
        <v>0</v>
      </c>
    </row>
    <row r="321" spans="1:12" outlineLevel="1" x14ac:dyDescent="0.2">
      <c r="A321" s="884">
        <v>304</v>
      </c>
      <c r="B321" s="881"/>
      <c r="D321" s="1531" t="s">
        <v>1671</v>
      </c>
      <c r="E321" s="1532"/>
      <c r="F321" s="1532"/>
      <c r="G321" s="1533"/>
      <c r="H321" s="1120">
        <f>+SUMIF('Sumaria renta 20x3'!G:G,'2516 20x3'!A321,'Sumaria renta 20x3'!C:C)</f>
        <v>0</v>
      </c>
      <c r="I321" s="1118"/>
      <c r="J321" s="842">
        <f t="shared" si="108"/>
        <v>0</v>
      </c>
      <c r="K321" s="842">
        <f t="shared" si="109"/>
        <v>0</v>
      </c>
      <c r="L321" s="842">
        <f>+SUMIF('Sumaria renta 20x3'!G:G,'2516 20x3'!A321,'Sumaria renta 20x3'!E:E)</f>
        <v>0</v>
      </c>
    </row>
    <row r="322" spans="1:12" outlineLevel="1" x14ac:dyDescent="0.2">
      <c r="A322" s="884">
        <v>305</v>
      </c>
      <c r="B322" s="881"/>
      <c r="D322" s="1531" t="s">
        <v>1429</v>
      </c>
      <c r="E322" s="1532"/>
      <c r="F322" s="1532"/>
      <c r="G322" s="1533"/>
      <c r="H322" s="1120">
        <f>+SUMIF('Sumaria renta 20x3'!G:G,'2516 20x3'!A322,'Sumaria renta 20x3'!C:C)</f>
        <v>0</v>
      </c>
      <c r="I322" s="1118"/>
      <c r="J322" s="842">
        <f t="shared" si="108"/>
        <v>0</v>
      </c>
      <c r="K322" s="842">
        <f t="shared" si="109"/>
        <v>0</v>
      </c>
      <c r="L322" s="842">
        <f>+SUMIF('Sumaria renta 20x3'!G:G,'2516 20x3'!A322,'Sumaria renta 20x3'!E:E)</f>
        <v>0</v>
      </c>
    </row>
    <row r="323" spans="1:12" ht="40.5" customHeight="1" outlineLevel="1" x14ac:dyDescent="0.2">
      <c r="A323" s="880">
        <v>2000</v>
      </c>
      <c r="B323" s="881"/>
      <c r="D323" s="1534" t="s">
        <v>1672</v>
      </c>
      <c r="E323" s="1535"/>
      <c r="F323" s="1535"/>
      <c r="G323" s="1536"/>
      <c r="H323" s="882">
        <f>+SUM(H324:H331)</f>
        <v>0</v>
      </c>
      <c r="I323" s="882">
        <f t="shared" ref="I323:L323" si="110">+SUM(I324:I331)</f>
        <v>0</v>
      </c>
      <c r="J323" s="882">
        <f t="shared" si="110"/>
        <v>0</v>
      </c>
      <c r="K323" s="882">
        <f t="shared" si="110"/>
        <v>0</v>
      </c>
      <c r="L323" s="882">
        <f t="shared" si="110"/>
        <v>0</v>
      </c>
    </row>
    <row r="324" spans="1:12" outlineLevel="1" x14ac:dyDescent="0.2">
      <c r="A324" s="884">
        <v>307</v>
      </c>
      <c r="B324" s="881"/>
      <c r="D324" s="1531" t="s">
        <v>431</v>
      </c>
      <c r="E324" s="1532"/>
      <c r="F324" s="1532"/>
      <c r="G324" s="1533"/>
      <c r="H324" s="1120">
        <f>+SUMIF('Sumaria renta 20x3'!G:G,'2516 20x3'!A324,'Sumaria renta 20x3'!C:C)</f>
        <v>0</v>
      </c>
      <c r="I324" s="1118"/>
      <c r="J324" s="842">
        <f t="shared" ref="J324:J331" si="111">+IF((H324&gt;L324),(H324-L324),0)</f>
        <v>0</v>
      </c>
      <c r="K324" s="842">
        <f t="shared" ref="K324:K331" si="112">+IF((H324&lt;L324),(L324-H324),0)</f>
        <v>0</v>
      </c>
      <c r="L324" s="842">
        <f>+SUMIF('Sumaria renta 20x3'!G:G,'2516 20x3'!A324,'Sumaria renta 20x3'!E:E)</f>
        <v>0</v>
      </c>
    </row>
    <row r="325" spans="1:12" outlineLevel="1" x14ac:dyDescent="0.2">
      <c r="A325" s="884">
        <v>308</v>
      </c>
      <c r="B325" s="881"/>
      <c r="D325" s="1531" t="s">
        <v>1666</v>
      </c>
      <c r="E325" s="1532"/>
      <c r="F325" s="1532"/>
      <c r="G325" s="1533"/>
      <c r="H325" s="1120">
        <f>+SUMIF('Sumaria renta 20x3'!G:G,'2516 20x3'!A325,'Sumaria renta 20x3'!C:C)</f>
        <v>0</v>
      </c>
      <c r="I325" s="1118"/>
      <c r="J325" s="842">
        <f t="shared" si="111"/>
        <v>0</v>
      </c>
      <c r="K325" s="842">
        <f t="shared" si="112"/>
        <v>0</v>
      </c>
      <c r="L325" s="842">
        <f>+SUMIF('Sumaria renta 20x3'!G:G,'2516 20x3'!A325,'Sumaria renta 20x3'!E:E)</f>
        <v>0</v>
      </c>
    </row>
    <row r="326" spans="1:12" outlineLevel="1" x14ac:dyDescent="0.2">
      <c r="A326" s="884">
        <v>309</v>
      </c>
      <c r="B326" s="881"/>
      <c r="D326" s="1531" t="s">
        <v>1667</v>
      </c>
      <c r="E326" s="1532"/>
      <c r="F326" s="1532"/>
      <c r="G326" s="1533"/>
      <c r="H326" s="1120">
        <f>+SUMIF('Sumaria renta 20x3'!G:G,'2516 20x3'!A326,'Sumaria renta 20x3'!C:C)</f>
        <v>0</v>
      </c>
      <c r="I326" s="1118"/>
      <c r="J326" s="842">
        <f t="shared" si="111"/>
        <v>0</v>
      </c>
      <c r="K326" s="842">
        <f t="shared" si="112"/>
        <v>0</v>
      </c>
      <c r="L326" s="842">
        <f>+SUMIF('Sumaria renta 20x3'!G:G,'2516 20x3'!A326,'Sumaria renta 20x3'!E:E)</f>
        <v>0</v>
      </c>
    </row>
    <row r="327" spans="1:12" outlineLevel="1" x14ac:dyDescent="0.2">
      <c r="A327" s="884">
        <v>310</v>
      </c>
      <c r="B327" s="881"/>
      <c r="D327" s="1531" t="s">
        <v>1668</v>
      </c>
      <c r="E327" s="1532"/>
      <c r="F327" s="1532"/>
      <c r="G327" s="1533"/>
      <c r="H327" s="1120">
        <f>+SUMIF('Sumaria renta 20x3'!G:G,'2516 20x3'!A327,'Sumaria renta 20x3'!C:C)</f>
        <v>0</v>
      </c>
      <c r="I327" s="1118"/>
      <c r="J327" s="842">
        <f t="shared" si="111"/>
        <v>0</v>
      </c>
      <c r="K327" s="842">
        <f t="shared" si="112"/>
        <v>0</v>
      </c>
      <c r="L327" s="842">
        <f>+SUMIF('Sumaria renta 20x3'!G:G,'2516 20x3'!A327,'Sumaria renta 20x3'!E:E)</f>
        <v>0</v>
      </c>
    </row>
    <row r="328" spans="1:12" outlineLevel="1" x14ac:dyDescent="0.2">
      <c r="A328" s="884">
        <v>311</v>
      </c>
      <c r="B328" s="881"/>
      <c r="D328" s="1531" t="s">
        <v>1669</v>
      </c>
      <c r="E328" s="1532"/>
      <c r="F328" s="1532"/>
      <c r="G328" s="1533"/>
      <c r="H328" s="1120">
        <f>+SUMIF('Sumaria renta 20x3'!G:G,'2516 20x3'!A328,'Sumaria renta 20x3'!C:C)</f>
        <v>0</v>
      </c>
      <c r="I328" s="1118"/>
      <c r="J328" s="842">
        <f t="shared" si="111"/>
        <v>0</v>
      </c>
      <c r="K328" s="842">
        <f t="shared" si="112"/>
        <v>0</v>
      </c>
      <c r="L328" s="842">
        <f>+SUMIF('Sumaria renta 20x3'!G:G,'2516 20x3'!A328,'Sumaria renta 20x3'!E:E)</f>
        <v>0</v>
      </c>
    </row>
    <row r="329" spans="1:12" outlineLevel="1" x14ac:dyDescent="0.2">
      <c r="A329" s="884">
        <v>312</v>
      </c>
      <c r="B329" s="881"/>
      <c r="D329" s="1531" t="s">
        <v>1670</v>
      </c>
      <c r="E329" s="1532"/>
      <c r="F329" s="1532"/>
      <c r="G329" s="1533"/>
      <c r="H329" s="1120">
        <f>+SUMIF('Sumaria renta 20x3'!G:G,'2516 20x3'!A329,'Sumaria renta 20x3'!C:C)</f>
        <v>0</v>
      </c>
      <c r="I329" s="1118"/>
      <c r="J329" s="842">
        <f t="shared" si="111"/>
        <v>0</v>
      </c>
      <c r="K329" s="842">
        <f t="shared" si="112"/>
        <v>0</v>
      </c>
      <c r="L329" s="842">
        <f>+SUMIF('Sumaria renta 20x3'!G:G,'2516 20x3'!A329,'Sumaria renta 20x3'!E:E)</f>
        <v>0</v>
      </c>
    </row>
    <row r="330" spans="1:12" outlineLevel="1" x14ac:dyDescent="0.2">
      <c r="A330" s="884">
        <v>313</v>
      </c>
      <c r="B330" s="881"/>
      <c r="D330" s="1531" t="s">
        <v>1671</v>
      </c>
      <c r="E330" s="1532"/>
      <c r="F330" s="1532"/>
      <c r="G330" s="1533"/>
      <c r="H330" s="1120">
        <f>+SUMIF('Sumaria renta 20x3'!G:G,'2516 20x3'!A330,'Sumaria renta 20x3'!C:C)</f>
        <v>0</v>
      </c>
      <c r="I330" s="1118"/>
      <c r="J330" s="842">
        <f t="shared" si="111"/>
        <v>0</v>
      </c>
      <c r="K330" s="842">
        <f t="shared" si="112"/>
        <v>0</v>
      </c>
      <c r="L330" s="842">
        <f>+SUMIF('Sumaria renta 20x3'!G:G,'2516 20x3'!A330,'Sumaria renta 20x3'!E:E)</f>
        <v>0</v>
      </c>
    </row>
    <row r="331" spans="1:12" outlineLevel="1" x14ac:dyDescent="0.2">
      <c r="A331" s="884">
        <v>314</v>
      </c>
      <c r="B331" s="881"/>
      <c r="D331" s="1531" t="s">
        <v>1429</v>
      </c>
      <c r="E331" s="1532"/>
      <c r="F331" s="1532"/>
      <c r="G331" s="1533"/>
      <c r="H331" s="1120">
        <f>+SUMIF('Sumaria renta 20x3'!G:G,'2516 20x3'!A331,'Sumaria renta 20x3'!C:C)</f>
        <v>0</v>
      </c>
      <c r="I331" s="1118"/>
      <c r="J331" s="842">
        <f t="shared" si="111"/>
        <v>0</v>
      </c>
      <c r="K331" s="842">
        <f t="shared" si="112"/>
        <v>0</v>
      </c>
      <c r="L331" s="842">
        <f>+SUMIF('Sumaria renta 20x3'!G:G,'2516 20x3'!A331,'Sumaria renta 20x3'!E:E)</f>
        <v>0</v>
      </c>
    </row>
    <row r="332" spans="1:12" outlineLevel="1" x14ac:dyDescent="0.2">
      <c r="A332" s="880">
        <v>2000</v>
      </c>
      <c r="B332" s="881"/>
      <c r="D332" s="1534" t="s">
        <v>1673</v>
      </c>
      <c r="E332" s="1535"/>
      <c r="F332" s="1535"/>
      <c r="G332" s="1536"/>
      <c r="H332" s="882">
        <f>+SUM(H333:H344)</f>
        <v>0</v>
      </c>
      <c r="I332" s="882">
        <f t="shared" ref="I332:L332" si="113">+SUM(I333:I344)</f>
        <v>0</v>
      </c>
      <c r="J332" s="882">
        <f t="shared" si="113"/>
        <v>0</v>
      </c>
      <c r="K332" s="882">
        <f t="shared" si="113"/>
        <v>0</v>
      </c>
      <c r="L332" s="882">
        <f t="shared" si="113"/>
        <v>0</v>
      </c>
    </row>
    <row r="333" spans="1:12" outlineLevel="1" x14ac:dyDescent="0.2">
      <c r="A333" s="884">
        <v>316</v>
      </c>
      <c r="B333" s="881"/>
      <c r="D333" s="1531" t="s">
        <v>143</v>
      </c>
      <c r="E333" s="1532"/>
      <c r="F333" s="1532"/>
      <c r="G333" s="1533"/>
      <c r="H333" s="1120">
        <f>+SUMIF('Sumaria renta 20x3'!G:G,'2516 20x3'!A333,'Sumaria renta 20x3'!C:C)</f>
        <v>0</v>
      </c>
      <c r="I333" s="1118"/>
      <c r="J333" s="842">
        <f t="shared" ref="J333:J344" si="114">+IF((H333&gt;L333),(H333-L333),0)</f>
        <v>0</v>
      </c>
      <c r="K333" s="842">
        <f t="shared" ref="K333:K344" si="115">+IF((H333&lt;L333),(L333-H333),0)</f>
        <v>0</v>
      </c>
      <c r="L333" s="842">
        <f>+SUMIF('Sumaria renta 20x3'!G:G,'2516 20x3'!A333,'Sumaria renta 20x3'!E:E)</f>
        <v>0</v>
      </c>
    </row>
    <row r="334" spans="1:12" outlineLevel="1" x14ac:dyDescent="0.2">
      <c r="A334" s="884">
        <v>317</v>
      </c>
      <c r="B334" s="881"/>
      <c r="D334" s="1531" t="s">
        <v>431</v>
      </c>
      <c r="E334" s="1532"/>
      <c r="F334" s="1532"/>
      <c r="G334" s="1533"/>
      <c r="H334" s="1120">
        <f>+SUMIF('Sumaria renta 20x3'!G:G,'2516 20x3'!A334,'Sumaria renta 20x3'!C:C)</f>
        <v>0</v>
      </c>
      <c r="I334" s="1118"/>
      <c r="J334" s="842">
        <f t="shared" si="114"/>
        <v>0</v>
      </c>
      <c r="K334" s="842">
        <f t="shared" si="115"/>
        <v>0</v>
      </c>
      <c r="L334" s="842">
        <f>+SUMIF('Sumaria renta 20x3'!G:G,'2516 20x3'!A334,'Sumaria renta 20x3'!E:E)</f>
        <v>0</v>
      </c>
    </row>
    <row r="335" spans="1:12" outlineLevel="1" x14ac:dyDescent="0.2">
      <c r="A335" s="884">
        <v>318</v>
      </c>
      <c r="B335" s="881"/>
      <c r="D335" s="1531" t="s">
        <v>813</v>
      </c>
      <c r="E335" s="1532"/>
      <c r="F335" s="1532"/>
      <c r="G335" s="1533"/>
      <c r="H335" s="1120">
        <f>+SUMIF('Sumaria renta 20x3'!G:G,'2516 20x3'!A335,'Sumaria renta 20x3'!C:C)</f>
        <v>0</v>
      </c>
      <c r="I335" s="1118"/>
      <c r="J335" s="842">
        <f t="shared" si="114"/>
        <v>0</v>
      </c>
      <c r="K335" s="842">
        <f t="shared" si="115"/>
        <v>0</v>
      </c>
      <c r="L335" s="842">
        <f>+SUMIF('Sumaria renta 20x3'!G:G,'2516 20x3'!A335,'Sumaria renta 20x3'!E:E)</f>
        <v>0</v>
      </c>
    </row>
    <row r="336" spans="1:12" outlineLevel="1" x14ac:dyDescent="0.2">
      <c r="A336" s="884">
        <v>319</v>
      </c>
      <c r="B336" s="881"/>
      <c r="D336" s="1531" t="s">
        <v>1674</v>
      </c>
      <c r="E336" s="1532"/>
      <c r="F336" s="1532"/>
      <c r="G336" s="1533"/>
      <c r="H336" s="1120">
        <f>+SUMIF('Sumaria renta 20x3'!G:G,'2516 20x3'!A336,'Sumaria renta 20x3'!C:C)</f>
        <v>0</v>
      </c>
      <c r="I336" s="1118"/>
      <c r="J336" s="842">
        <f t="shared" si="114"/>
        <v>0</v>
      </c>
      <c r="K336" s="842">
        <f t="shared" si="115"/>
        <v>0</v>
      </c>
      <c r="L336" s="842">
        <f>+SUMIF('Sumaria renta 20x3'!G:G,'2516 20x3'!A336,'Sumaria renta 20x3'!E:E)</f>
        <v>0</v>
      </c>
    </row>
    <row r="337" spans="1:12" outlineLevel="1" x14ac:dyDescent="0.2">
      <c r="A337" s="884">
        <v>320</v>
      </c>
      <c r="B337" s="881"/>
      <c r="D337" s="1531" t="s">
        <v>1675</v>
      </c>
      <c r="E337" s="1532"/>
      <c r="F337" s="1532"/>
      <c r="G337" s="1533"/>
      <c r="H337" s="1120">
        <f>+SUMIF('Sumaria renta 20x3'!G:G,'2516 20x3'!A337,'Sumaria renta 20x3'!C:C)</f>
        <v>0</v>
      </c>
      <c r="I337" s="1118"/>
      <c r="J337" s="842">
        <f t="shared" si="114"/>
        <v>0</v>
      </c>
      <c r="K337" s="842">
        <f t="shared" si="115"/>
        <v>0</v>
      </c>
      <c r="L337" s="842">
        <f>+SUMIF('Sumaria renta 20x3'!G:G,'2516 20x3'!A337,'Sumaria renta 20x3'!E:E)</f>
        <v>0</v>
      </c>
    </row>
    <row r="338" spans="1:12" ht="25.5" customHeight="1" outlineLevel="1" x14ac:dyDescent="0.2">
      <c r="A338" s="884">
        <v>321</v>
      </c>
      <c r="B338" s="881"/>
      <c r="D338" s="1531" t="s">
        <v>1668</v>
      </c>
      <c r="E338" s="1532"/>
      <c r="F338" s="1532"/>
      <c r="G338" s="1533"/>
      <c r="H338" s="1120">
        <f>+SUMIF('Sumaria renta 20x3'!G:G,'2516 20x3'!A338,'Sumaria renta 20x3'!C:C)</f>
        <v>0</v>
      </c>
      <c r="I338" s="1118"/>
      <c r="J338" s="842">
        <f t="shared" si="114"/>
        <v>0</v>
      </c>
      <c r="K338" s="842">
        <f t="shared" si="115"/>
        <v>0</v>
      </c>
      <c r="L338" s="842">
        <f>+SUMIF('Sumaria renta 20x3'!G:G,'2516 20x3'!A338,'Sumaria renta 20x3'!E:E)</f>
        <v>0</v>
      </c>
    </row>
    <row r="339" spans="1:12" outlineLevel="1" x14ac:dyDescent="0.2">
      <c r="A339" s="884">
        <v>322</v>
      </c>
      <c r="B339" s="881"/>
      <c r="D339" s="1531" t="s">
        <v>1676</v>
      </c>
      <c r="E339" s="1532"/>
      <c r="F339" s="1532"/>
      <c r="G339" s="1533"/>
      <c r="H339" s="1120">
        <f>+SUMIF('Sumaria renta 20x3'!G:G,'2516 20x3'!A339,'Sumaria renta 20x3'!C:C)</f>
        <v>0</v>
      </c>
      <c r="I339" s="1118"/>
      <c r="J339" s="842">
        <f t="shared" si="114"/>
        <v>0</v>
      </c>
      <c r="K339" s="842">
        <f t="shared" si="115"/>
        <v>0</v>
      </c>
      <c r="L339" s="842">
        <f>+SUMIF('Sumaria renta 20x3'!G:G,'2516 20x3'!A339,'Sumaria renta 20x3'!E:E)</f>
        <v>0</v>
      </c>
    </row>
    <row r="340" spans="1:12" outlineLevel="1" x14ac:dyDescent="0.2">
      <c r="A340" s="884">
        <v>323</v>
      </c>
      <c r="B340" s="881"/>
      <c r="D340" s="1531" t="s">
        <v>1677</v>
      </c>
      <c r="E340" s="1532"/>
      <c r="F340" s="1532"/>
      <c r="G340" s="1533"/>
      <c r="H340" s="1120">
        <f>+SUMIF('Sumaria renta 20x3'!G:G,'2516 20x3'!A340,'Sumaria renta 20x3'!C:C)</f>
        <v>0</v>
      </c>
      <c r="I340" s="1118"/>
      <c r="J340" s="842">
        <f t="shared" si="114"/>
        <v>0</v>
      </c>
      <c r="K340" s="842">
        <f t="shared" si="115"/>
        <v>0</v>
      </c>
      <c r="L340" s="842">
        <f>+SUMIF('Sumaria renta 20x3'!G:G,'2516 20x3'!A340,'Sumaria renta 20x3'!E:E)</f>
        <v>0</v>
      </c>
    </row>
    <row r="341" spans="1:12" outlineLevel="1" x14ac:dyDescent="0.2">
      <c r="A341" s="884">
        <v>324</v>
      </c>
      <c r="B341" s="881"/>
      <c r="D341" s="1531" t="s">
        <v>1678</v>
      </c>
      <c r="E341" s="1532"/>
      <c r="F341" s="1532"/>
      <c r="G341" s="1533"/>
      <c r="H341" s="1120">
        <f>+SUMIF('Sumaria renta 20x3'!G:G,'2516 20x3'!A341,'Sumaria renta 20x3'!C:C)</f>
        <v>0</v>
      </c>
      <c r="I341" s="1118"/>
      <c r="J341" s="842">
        <f t="shared" si="114"/>
        <v>0</v>
      </c>
      <c r="K341" s="842">
        <f t="shared" si="115"/>
        <v>0</v>
      </c>
      <c r="L341" s="842">
        <f>+SUMIF('Sumaria renta 20x3'!G:G,'2516 20x3'!A341,'Sumaria renta 20x3'!E:E)</f>
        <v>0</v>
      </c>
    </row>
    <row r="342" spans="1:12" outlineLevel="1" x14ac:dyDescent="0.2">
      <c r="A342" s="884">
        <v>325</v>
      </c>
      <c r="B342" s="881"/>
      <c r="D342" s="1531" t="s">
        <v>1679</v>
      </c>
      <c r="E342" s="1532"/>
      <c r="F342" s="1532"/>
      <c r="G342" s="1533"/>
      <c r="H342" s="1120">
        <f>+SUMIF('Sumaria renta 20x3'!G:G,'2516 20x3'!A342,'Sumaria renta 20x3'!C:C)</f>
        <v>0</v>
      </c>
      <c r="I342" s="1118"/>
      <c r="J342" s="842">
        <f t="shared" si="114"/>
        <v>0</v>
      </c>
      <c r="K342" s="842">
        <f t="shared" si="115"/>
        <v>0</v>
      </c>
      <c r="L342" s="842">
        <f>+SUMIF('Sumaria renta 20x3'!G:G,'2516 20x3'!A342,'Sumaria renta 20x3'!E:E)</f>
        <v>0</v>
      </c>
    </row>
    <row r="343" spans="1:12" outlineLevel="1" x14ac:dyDescent="0.2">
      <c r="A343" s="884">
        <v>326</v>
      </c>
      <c r="B343" s="881"/>
      <c r="D343" s="1531" t="s">
        <v>1680</v>
      </c>
      <c r="E343" s="1532"/>
      <c r="F343" s="1532"/>
      <c r="G343" s="1533"/>
      <c r="H343" s="1120">
        <f>+SUMIF('Sumaria renta 20x3'!G:G,'2516 20x3'!A343,'Sumaria renta 20x3'!C:C)</f>
        <v>0</v>
      </c>
      <c r="I343" s="1118"/>
      <c r="J343" s="842">
        <f t="shared" si="114"/>
        <v>0</v>
      </c>
      <c r="K343" s="842">
        <f t="shared" si="115"/>
        <v>0</v>
      </c>
      <c r="L343" s="842">
        <f>+SUMIF('Sumaria renta 20x3'!G:G,'2516 20x3'!A343,'Sumaria renta 20x3'!E:E)</f>
        <v>0</v>
      </c>
    </row>
    <row r="344" spans="1:12" outlineLevel="1" x14ac:dyDescent="0.2">
      <c r="A344" s="884">
        <v>327</v>
      </c>
      <c r="B344" s="881"/>
      <c r="D344" s="1531" t="s">
        <v>1681</v>
      </c>
      <c r="E344" s="1532"/>
      <c r="F344" s="1532"/>
      <c r="G344" s="1533"/>
      <c r="H344" s="1120">
        <f>+SUMIF('Sumaria renta 20x3'!G:G,'2516 20x3'!A344,'Sumaria renta 20x3'!C:C)</f>
        <v>0</v>
      </c>
      <c r="I344" s="1118"/>
      <c r="J344" s="842">
        <f t="shared" si="114"/>
        <v>0</v>
      </c>
      <c r="K344" s="842">
        <f t="shared" si="115"/>
        <v>0</v>
      </c>
      <c r="L344" s="842">
        <f>+SUMIF('Sumaria renta 20x3'!G:G,'2516 20x3'!A344,'Sumaria renta 20x3'!E:E)</f>
        <v>0</v>
      </c>
    </row>
    <row r="345" spans="1:12" ht="25.5" customHeight="1" outlineLevel="1" x14ac:dyDescent="0.2">
      <c r="A345" s="880">
        <v>2000</v>
      </c>
      <c r="B345" s="881"/>
      <c r="D345" s="1534" t="s">
        <v>1682</v>
      </c>
      <c r="E345" s="1535"/>
      <c r="F345" s="1535"/>
      <c r="G345" s="1536"/>
      <c r="H345" s="882">
        <f>+SUM(H346:H352)</f>
        <v>0</v>
      </c>
      <c r="I345" s="882">
        <f t="shared" ref="I345:L345" si="116">+SUM(I346:I352)</f>
        <v>0</v>
      </c>
      <c r="J345" s="882">
        <f t="shared" si="116"/>
        <v>0</v>
      </c>
      <c r="K345" s="882">
        <f t="shared" si="116"/>
        <v>0</v>
      </c>
      <c r="L345" s="882">
        <f t="shared" si="116"/>
        <v>0</v>
      </c>
    </row>
    <row r="346" spans="1:12" outlineLevel="1" x14ac:dyDescent="0.2">
      <c r="A346" s="884">
        <v>329</v>
      </c>
      <c r="B346" s="881"/>
      <c r="D346" s="1531" t="s">
        <v>401</v>
      </c>
      <c r="E346" s="1532"/>
      <c r="F346" s="1532"/>
      <c r="G346" s="1533"/>
      <c r="H346" s="1120">
        <f>+SUMIF('Sumaria renta 20x3'!G:G,'2516 20x3'!A346,'Sumaria renta 20x3'!C:C)</f>
        <v>0</v>
      </c>
      <c r="I346" s="1118"/>
      <c r="J346" s="842">
        <f t="shared" ref="J346:J352" si="117">+IF((H346&gt;L346),(H346-L346),0)</f>
        <v>0</v>
      </c>
      <c r="K346" s="842">
        <f t="shared" ref="K346:K352" si="118">+IF((H346&lt;L346),(L346-H346),0)</f>
        <v>0</v>
      </c>
      <c r="L346" s="842">
        <f>+SUMIF('Sumaria renta 20x3'!G:G,'2516 20x3'!A346,'Sumaria renta 20x3'!E:E)</f>
        <v>0</v>
      </c>
    </row>
    <row r="347" spans="1:12" outlineLevel="1" x14ac:dyDescent="0.2">
      <c r="A347" s="884">
        <v>330</v>
      </c>
      <c r="B347" s="881"/>
      <c r="D347" s="1531" t="s">
        <v>1555</v>
      </c>
      <c r="E347" s="1532"/>
      <c r="F347" s="1532"/>
      <c r="G347" s="1533"/>
      <c r="H347" s="1120">
        <f>+SUMIF('Sumaria renta 20x3'!G:G,'2516 20x3'!A347,'Sumaria renta 20x3'!C:C)</f>
        <v>0</v>
      </c>
      <c r="I347" s="1118"/>
      <c r="J347" s="842">
        <f t="shared" si="117"/>
        <v>0</v>
      </c>
      <c r="K347" s="842">
        <f t="shared" si="118"/>
        <v>0</v>
      </c>
      <c r="L347" s="842">
        <f>+SUMIF('Sumaria renta 20x3'!G:G,'2516 20x3'!A347,'Sumaria renta 20x3'!E:E)</f>
        <v>0</v>
      </c>
    </row>
    <row r="348" spans="1:12" outlineLevel="1" x14ac:dyDescent="0.2">
      <c r="A348" s="884">
        <v>331</v>
      </c>
      <c r="B348" s="881"/>
      <c r="D348" s="1531" t="s">
        <v>1683</v>
      </c>
      <c r="E348" s="1532"/>
      <c r="F348" s="1532"/>
      <c r="G348" s="1533"/>
      <c r="H348" s="1120">
        <f>+SUMIF('Sumaria renta 20x3'!G:G,'2516 20x3'!A348,'Sumaria renta 20x3'!C:C)</f>
        <v>0</v>
      </c>
      <c r="I348" s="1118"/>
      <c r="J348" s="842">
        <f t="shared" si="117"/>
        <v>0</v>
      </c>
      <c r="K348" s="842">
        <f t="shared" si="118"/>
        <v>0</v>
      </c>
      <c r="L348" s="842">
        <f>+SUMIF('Sumaria renta 20x3'!G:G,'2516 20x3'!A348,'Sumaria renta 20x3'!E:E)</f>
        <v>0</v>
      </c>
    </row>
    <row r="349" spans="1:12" outlineLevel="1" x14ac:dyDescent="0.2">
      <c r="A349" s="884">
        <v>332</v>
      </c>
      <c r="B349" s="881"/>
      <c r="D349" s="1531" t="s">
        <v>1556</v>
      </c>
      <c r="E349" s="1532"/>
      <c r="F349" s="1532"/>
      <c r="G349" s="1533"/>
      <c r="H349" s="1120">
        <f>+SUMIF('Sumaria renta 20x3'!G:G,'2516 20x3'!A349,'Sumaria renta 20x3'!C:C)</f>
        <v>0</v>
      </c>
      <c r="I349" s="1118"/>
      <c r="J349" s="842">
        <f t="shared" si="117"/>
        <v>0</v>
      </c>
      <c r="K349" s="842">
        <f t="shared" si="118"/>
        <v>0</v>
      </c>
      <c r="L349" s="842">
        <f>+SUMIF('Sumaria renta 20x3'!G:G,'2516 20x3'!A349,'Sumaria renta 20x3'!E:E)</f>
        <v>0</v>
      </c>
    </row>
    <row r="350" spans="1:12" outlineLevel="1" x14ac:dyDescent="0.2">
      <c r="A350" s="884">
        <v>333</v>
      </c>
      <c r="B350" s="881"/>
      <c r="D350" s="1531" t="s">
        <v>1557</v>
      </c>
      <c r="E350" s="1532"/>
      <c r="F350" s="1532"/>
      <c r="G350" s="1533"/>
      <c r="H350" s="1120">
        <f>+SUMIF('Sumaria renta 20x3'!G:G,'2516 20x3'!A350,'Sumaria renta 20x3'!C:C)</f>
        <v>0</v>
      </c>
      <c r="I350" s="1118"/>
      <c r="J350" s="842">
        <f t="shared" si="117"/>
        <v>0</v>
      </c>
      <c r="K350" s="842">
        <f t="shared" si="118"/>
        <v>0</v>
      </c>
      <c r="L350" s="842">
        <f>+SUMIF('Sumaria renta 20x3'!G:G,'2516 20x3'!A350,'Sumaria renta 20x3'!E:E)</f>
        <v>0</v>
      </c>
    </row>
    <row r="351" spans="1:12" outlineLevel="1" x14ac:dyDescent="0.2">
      <c r="A351" s="884">
        <v>334</v>
      </c>
      <c r="B351" s="881"/>
      <c r="D351" s="1531" t="s">
        <v>1558</v>
      </c>
      <c r="E351" s="1532"/>
      <c r="F351" s="1532"/>
      <c r="G351" s="1533"/>
      <c r="H351" s="1120">
        <f>+SUMIF('Sumaria renta 20x3'!G:G,'2516 20x3'!A351,'Sumaria renta 20x3'!C:C)</f>
        <v>0</v>
      </c>
      <c r="I351" s="1118"/>
      <c r="J351" s="842">
        <f t="shared" si="117"/>
        <v>0</v>
      </c>
      <c r="K351" s="842">
        <f t="shared" si="118"/>
        <v>0</v>
      </c>
      <c r="L351" s="842">
        <f>+SUMIF('Sumaria renta 20x3'!G:G,'2516 20x3'!A351,'Sumaria renta 20x3'!E:E)</f>
        <v>0</v>
      </c>
    </row>
    <row r="352" spans="1:12" outlineLevel="1" x14ac:dyDescent="0.2">
      <c r="A352" s="884">
        <v>335</v>
      </c>
      <c r="B352" s="881"/>
      <c r="D352" s="1531" t="s">
        <v>1429</v>
      </c>
      <c r="E352" s="1532"/>
      <c r="F352" s="1532"/>
      <c r="G352" s="1533"/>
      <c r="H352" s="1120">
        <f>+SUMIF('Sumaria renta 20x3'!G:G,'2516 20x3'!A352,'Sumaria renta 20x3'!C:C)</f>
        <v>0</v>
      </c>
      <c r="I352" s="1118"/>
      <c r="J352" s="842">
        <f t="shared" si="117"/>
        <v>0</v>
      </c>
      <c r="K352" s="842">
        <f t="shared" si="118"/>
        <v>0</v>
      </c>
      <c r="L352" s="842">
        <f>+SUMIF('Sumaria renta 20x3'!G:G,'2516 20x3'!A352,'Sumaria renta 20x3'!E:E)</f>
        <v>0</v>
      </c>
    </row>
    <row r="353" spans="1:12" ht="21.75" customHeight="1" outlineLevel="1" x14ac:dyDescent="0.2">
      <c r="A353" s="880">
        <v>2000</v>
      </c>
      <c r="B353" s="881"/>
      <c r="D353" s="1534" t="s">
        <v>1684</v>
      </c>
      <c r="E353" s="1535"/>
      <c r="F353" s="1535"/>
      <c r="G353" s="1536"/>
      <c r="H353" s="890">
        <f>+SUM(H354:H357)</f>
        <v>0</v>
      </c>
      <c r="I353" s="890">
        <f t="shared" ref="I353:L353" si="119">+SUM(I354:I357)</f>
        <v>0</v>
      </c>
      <c r="J353" s="890">
        <f t="shared" si="119"/>
        <v>0</v>
      </c>
      <c r="K353" s="890">
        <f t="shared" si="119"/>
        <v>0</v>
      </c>
      <c r="L353" s="890">
        <f t="shared" si="119"/>
        <v>0</v>
      </c>
    </row>
    <row r="354" spans="1:12" outlineLevel="1" x14ac:dyDescent="0.2">
      <c r="A354" s="884">
        <v>337</v>
      </c>
      <c r="B354" s="881"/>
      <c r="D354" s="1531" t="s">
        <v>1685</v>
      </c>
      <c r="E354" s="1532"/>
      <c r="F354" s="1532"/>
      <c r="G354" s="1533"/>
      <c r="H354" s="1120">
        <f>+SUMIF('Sumaria renta 20x3'!G:G,'2516 20x3'!A354,'Sumaria renta 20x3'!C:C)</f>
        <v>0</v>
      </c>
      <c r="I354" s="1118"/>
      <c r="J354" s="842">
        <f t="shared" ref="J354:J357" si="120">+IF((H354&gt;L354),(H354-L354),0)</f>
        <v>0</v>
      </c>
      <c r="K354" s="842">
        <f t="shared" ref="K354:K357" si="121">+IF((H354&lt;L354),(L354-H354),0)</f>
        <v>0</v>
      </c>
      <c r="L354" s="842">
        <f>+SUMIF('Sumaria renta 20x3'!G:G,'2516 20x3'!A354,'Sumaria renta 20x3'!E:E)</f>
        <v>0</v>
      </c>
    </row>
    <row r="355" spans="1:12" outlineLevel="1" x14ac:dyDescent="0.2">
      <c r="A355" s="884">
        <v>338</v>
      </c>
      <c r="B355" s="881"/>
      <c r="D355" s="1531" t="s">
        <v>1686</v>
      </c>
      <c r="E355" s="1532"/>
      <c r="F355" s="1532"/>
      <c r="G355" s="1533"/>
      <c r="H355" s="1120">
        <f>+SUMIF('Sumaria renta 20x3'!G:G,'2516 20x3'!A355,'Sumaria renta 20x3'!C:C)</f>
        <v>0</v>
      </c>
      <c r="I355" s="1118"/>
      <c r="J355" s="842">
        <f t="shared" si="120"/>
        <v>0</v>
      </c>
      <c r="K355" s="842">
        <f t="shared" si="121"/>
        <v>0</v>
      </c>
      <c r="L355" s="842">
        <f>+SUMIF('Sumaria renta 20x3'!G:G,'2516 20x3'!A355,'Sumaria renta 20x3'!E:E)</f>
        <v>0</v>
      </c>
    </row>
    <row r="356" spans="1:12" outlineLevel="1" x14ac:dyDescent="0.2">
      <c r="A356" s="884">
        <v>339</v>
      </c>
      <c r="B356" s="881"/>
      <c r="D356" s="1531" t="s">
        <v>1687</v>
      </c>
      <c r="E356" s="1532"/>
      <c r="F356" s="1532"/>
      <c r="G356" s="1533"/>
      <c r="H356" s="1120">
        <f>+SUMIF('Sumaria renta 20x3'!G:G,'2516 20x3'!A356,'Sumaria renta 20x3'!C:C)</f>
        <v>0</v>
      </c>
      <c r="I356" s="1118"/>
      <c r="J356" s="842">
        <f t="shared" si="120"/>
        <v>0</v>
      </c>
      <c r="K356" s="842">
        <f t="shared" si="121"/>
        <v>0</v>
      </c>
      <c r="L356" s="842">
        <f>+SUMIF('Sumaria renta 20x3'!G:G,'2516 20x3'!A356,'Sumaria renta 20x3'!E:E)</f>
        <v>0</v>
      </c>
    </row>
    <row r="357" spans="1:12" outlineLevel="1" x14ac:dyDescent="0.2">
      <c r="A357" s="884">
        <v>340</v>
      </c>
      <c r="B357" s="881"/>
      <c r="D357" s="1531" t="s">
        <v>1688</v>
      </c>
      <c r="E357" s="1532"/>
      <c r="F357" s="1532"/>
      <c r="G357" s="1533"/>
      <c r="H357" s="1120">
        <f>+SUMIF('Sumaria renta 20x3'!G:G,'2516 20x3'!A357,'Sumaria renta 20x3'!C:C)</f>
        <v>0</v>
      </c>
      <c r="I357" s="1118"/>
      <c r="J357" s="842">
        <f t="shared" si="120"/>
        <v>0</v>
      </c>
      <c r="K357" s="842">
        <f t="shared" si="121"/>
        <v>0</v>
      </c>
      <c r="L357" s="842">
        <f>+SUMIF('Sumaria renta 20x3'!G:G,'2516 20x3'!A357,'Sumaria renta 20x3'!E:E)</f>
        <v>0</v>
      </c>
    </row>
    <row r="358" spans="1:12" outlineLevel="1" x14ac:dyDescent="0.2">
      <c r="A358" s="880">
        <v>2000</v>
      </c>
      <c r="B358" s="881"/>
      <c r="D358" s="1534" t="s">
        <v>146</v>
      </c>
      <c r="E358" s="1535"/>
      <c r="F358" s="1535"/>
      <c r="G358" s="1536"/>
      <c r="H358" s="890">
        <f>+SUM(H359:H364)</f>
        <v>0</v>
      </c>
      <c r="I358" s="890">
        <f t="shared" ref="I358:L358" si="122">+SUM(I359:I364)</f>
        <v>0</v>
      </c>
      <c r="J358" s="890">
        <f t="shared" si="122"/>
        <v>0</v>
      </c>
      <c r="K358" s="890">
        <f t="shared" si="122"/>
        <v>0</v>
      </c>
      <c r="L358" s="890">
        <f t="shared" si="122"/>
        <v>0</v>
      </c>
    </row>
    <row r="359" spans="1:12" outlineLevel="1" x14ac:dyDescent="0.2">
      <c r="A359" s="884">
        <v>342</v>
      </c>
      <c r="B359" s="881"/>
      <c r="D359" s="1531" t="s">
        <v>1689</v>
      </c>
      <c r="E359" s="1532"/>
      <c r="F359" s="1532"/>
      <c r="G359" s="1533"/>
      <c r="H359" s="1120">
        <f>+SUMIF('Sumaria renta 20x3'!G:G,'2516 20x3'!A359,'Sumaria renta 20x3'!C:C)</f>
        <v>0</v>
      </c>
      <c r="I359" s="1118"/>
      <c r="J359" s="842">
        <f t="shared" ref="J359:J365" si="123">+IF((H359&gt;L359),(H359-L359),0)</f>
        <v>0</v>
      </c>
      <c r="K359" s="842">
        <f t="shared" ref="K359:K365" si="124">+IF((H359&lt;L359),(L359-H359),0)</f>
        <v>0</v>
      </c>
      <c r="L359" s="842">
        <f>+SUMIF('Sumaria renta 20x3'!G:G,'2516 20x3'!A359,'Sumaria renta 20x3'!E:E)</f>
        <v>0</v>
      </c>
    </row>
    <row r="360" spans="1:12" outlineLevel="1" x14ac:dyDescent="0.2">
      <c r="A360" s="884">
        <v>343</v>
      </c>
      <c r="B360" s="881"/>
      <c r="D360" s="1531" t="s">
        <v>1690</v>
      </c>
      <c r="E360" s="1532"/>
      <c r="F360" s="1532"/>
      <c r="G360" s="1533"/>
      <c r="H360" s="1120">
        <f>+SUMIF('Sumaria renta 20x3'!G:G,'2516 20x3'!A360,'Sumaria renta 20x3'!C:C)</f>
        <v>0</v>
      </c>
      <c r="I360" s="1118"/>
      <c r="J360" s="842">
        <f t="shared" si="123"/>
        <v>0</v>
      </c>
      <c r="K360" s="842">
        <f t="shared" si="124"/>
        <v>0</v>
      </c>
      <c r="L360" s="842">
        <f>+SUMIF('Sumaria renta 20x3'!G:G,'2516 20x3'!A360,'Sumaria renta 20x3'!E:E)</f>
        <v>0</v>
      </c>
    </row>
    <row r="361" spans="1:12" outlineLevel="1" x14ac:dyDescent="0.2">
      <c r="A361" s="884">
        <v>344</v>
      </c>
      <c r="B361" s="881"/>
      <c r="D361" s="1531" t="s">
        <v>1691</v>
      </c>
      <c r="E361" s="1532"/>
      <c r="F361" s="1532"/>
      <c r="G361" s="1533"/>
      <c r="H361" s="1120">
        <f>+SUMIF('Sumaria renta 20x3'!G:G,'2516 20x3'!A361,'Sumaria renta 20x3'!C:C)</f>
        <v>0</v>
      </c>
      <c r="I361" s="1118"/>
      <c r="J361" s="842">
        <f t="shared" si="123"/>
        <v>0</v>
      </c>
      <c r="K361" s="842">
        <f t="shared" si="124"/>
        <v>0</v>
      </c>
      <c r="L361" s="842">
        <f>+SUMIF('Sumaria renta 20x3'!G:G,'2516 20x3'!A361,'Sumaria renta 20x3'!E:E)</f>
        <v>0</v>
      </c>
    </row>
    <row r="362" spans="1:12" outlineLevel="1" x14ac:dyDescent="0.2">
      <c r="A362" s="884">
        <v>345</v>
      </c>
      <c r="B362" s="881"/>
      <c r="D362" s="1531" t="s">
        <v>1692</v>
      </c>
      <c r="E362" s="1532"/>
      <c r="F362" s="1532"/>
      <c r="G362" s="1533"/>
      <c r="H362" s="1120">
        <f>+SUMIF('Sumaria renta 20x3'!G:G,'2516 20x3'!A362,'Sumaria renta 20x3'!C:C)</f>
        <v>0</v>
      </c>
      <c r="I362" s="1118"/>
      <c r="J362" s="842">
        <f t="shared" si="123"/>
        <v>0</v>
      </c>
      <c r="K362" s="842">
        <f t="shared" si="124"/>
        <v>0</v>
      </c>
      <c r="L362" s="842">
        <f>+SUMIF('Sumaria renta 20x3'!G:G,'2516 20x3'!A362,'Sumaria renta 20x3'!E:E)</f>
        <v>0</v>
      </c>
    </row>
    <row r="363" spans="1:12" outlineLevel="1" x14ac:dyDescent="0.2">
      <c r="A363" s="884">
        <v>346</v>
      </c>
      <c r="B363" s="881"/>
      <c r="D363" s="1531" t="s">
        <v>1693</v>
      </c>
      <c r="E363" s="1532"/>
      <c r="F363" s="1532"/>
      <c r="G363" s="1533"/>
      <c r="H363" s="1120">
        <f>+SUMIF('Sumaria renta 20x3'!G:G,'2516 20x3'!A363,'Sumaria renta 20x3'!C:C)</f>
        <v>0</v>
      </c>
      <c r="I363" s="1118"/>
      <c r="J363" s="842">
        <f t="shared" si="123"/>
        <v>0</v>
      </c>
      <c r="K363" s="842">
        <f t="shared" si="124"/>
        <v>0</v>
      </c>
      <c r="L363" s="842">
        <f>+SUMIF('Sumaria renta 20x3'!G:G,'2516 20x3'!A363,'Sumaria renta 20x3'!E:E)</f>
        <v>0</v>
      </c>
    </row>
    <row r="364" spans="1:12" outlineLevel="1" x14ac:dyDescent="0.2">
      <c r="A364" s="884">
        <v>347</v>
      </c>
      <c r="B364" s="881"/>
      <c r="D364" s="1531" t="s">
        <v>1429</v>
      </c>
      <c r="E364" s="1532"/>
      <c r="F364" s="1532"/>
      <c r="G364" s="1533"/>
      <c r="H364" s="1120">
        <f>+SUMIF('Sumaria renta 20x3'!G:G,'2516 20x3'!A364,'Sumaria renta 20x3'!C:C)</f>
        <v>0</v>
      </c>
      <c r="I364" s="1118"/>
      <c r="J364" s="842">
        <f t="shared" si="123"/>
        <v>0</v>
      </c>
      <c r="K364" s="842">
        <f t="shared" si="124"/>
        <v>0</v>
      </c>
      <c r="L364" s="842">
        <f>+SUMIF('Sumaria renta 20x3'!G:G,'2516 20x3'!A364,'Sumaria renta 20x3'!E:E)</f>
        <v>0</v>
      </c>
    </row>
    <row r="365" spans="1:12" outlineLevel="1" x14ac:dyDescent="0.2">
      <c r="A365" s="884">
        <v>348</v>
      </c>
      <c r="B365" s="881"/>
      <c r="D365" s="1534" t="s">
        <v>1694</v>
      </c>
      <c r="E365" s="1535"/>
      <c r="F365" s="1535"/>
      <c r="G365" s="1536"/>
      <c r="H365" s="1129">
        <f>+SUMIF('Sumaria renta 20x3'!G:G,'2516 20x3'!A365,'Sumaria renta 20x3'!C:C)</f>
        <v>0</v>
      </c>
      <c r="I365" s="1130"/>
      <c r="J365" s="1131">
        <f t="shared" si="123"/>
        <v>0</v>
      </c>
      <c r="K365" s="1131">
        <f t="shared" si="124"/>
        <v>0</v>
      </c>
      <c r="L365" s="1131">
        <f>+SUMIF('Sumaria renta 20x3'!G:G,'2516 20x3'!A365,'Sumaria renta 20x3'!E:E)</f>
        <v>0</v>
      </c>
    </row>
    <row r="366" spans="1:12" outlineLevel="1" x14ac:dyDescent="0.2">
      <c r="A366" s="884"/>
      <c r="B366" s="881"/>
      <c r="D366" s="1534" t="s">
        <v>1695</v>
      </c>
      <c r="E366" s="1535"/>
      <c r="F366" s="1535"/>
      <c r="G366" s="1536"/>
      <c r="H366" s="1129">
        <f>+H367</f>
        <v>0</v>
      </c>
      <c r="I366" s="1130"/>
      <c r="J366" s="1129">
        <f t="shared" ref="J366:L366" si="125">+J367</f>
        <v>0</v>
      </c>
      <c r="K366" s="1129">
        <f t="shared" si="125"/>
        <v>0</v>
      </c>
      <c r="L366" s="1129">
        <f t="shared" si="125"/>
        <v>0</v>
      </c>
    </row>
    <row r="367" spans="1:12" outlineLevel="1" x14ac:dyDescent="0.2">
      <c r="A367" s="884"/>
      <c r="B367" s="881"/>
      <c r="D367" s="1534" t="s">
        <v>1696</v>
      </c>
      <c r="E367" s="1535"/>
      <c r="F367" s="1535"/>
      <c r="G367" s="1536"/>
      <c r="H367" s="1129">
        <f>+SUM(H368:H371)</f>
        <v>0</v>
      </c>
      <c r="I367" s="1129">
        <f t="shared" ref="I367:K367" si="126">+SUM(I368:I371)</f>
        <v>0</v>
      </c>
      <c r="J367" s="1129">
        <f t="shared" si="126"/>
        <v>0</v>
      </c>
      <c r="K367" s="1129">
        <f t="shared" si="126"/>
        <v>0</v>
      </c>
      <c r="L367" s="1129">
        <f>+SUM(L368:L371)</f>
        <v>0</v>
      </c>
    </row>
    <row r="368" spans="1:12" outlineLevel="1" x14ac:dyDescent="0.2">
      <c r="A368" s="884">
        <v>351</v>
      </c>
      <c r="B368" s="881"/>
      <c r="D368" s="1531" t="s">
        <v>1697</v>
      </c>
      <c r="E368" s="1532"/>
      <c r="F368" s="1532"/>
      <c r="G368" s="1533"/>
      <c r="H368" s="1120">
        <f>+SUMIF('Sumaria renta 20x3'!G:G,'2516 20x3'!A368,'Sumaria renta 20x3'!C:C)</f>
        <v>0</v>
      </c>
      <c r="I368" s="1118"/>
      <c r="J368" s="842">
        <f t="shared" ref="J368:J372" si="127">+IF((H368&gt;L368),(H368-L368),0)</f>
        <v>0</v>
      </c>
      <c r="K368" s="842">
        <f t="shared" ref="K368:K372" si="128">+IF((H368&lt;L368),(L368-H368),0)</f>
        <v>0</v>
      </c>
      <c r="L368" s="842">
        <f>+SUMIF('Sumaria renta 20x3'!G:G,'2516 20x3'!A368,'Sumaria renta 20x3'!E:E)</f>
        <v>0</v>
      </c>
    </row>
    <row r="369" spans="1:13" outlineLevel="1" x14ac:dyDescent="0.2">
      <c r="A369" s="884">
        <v>352</v>
      </c>
      <c r="B369" s="881"/>
      <c r="D369" s="1531" t="s">
        <v>1698</v>
      </c>
      <c r="E369" s="1532"/>
      <c r="F369" s="1532"/>
      <c r="G369" s="1533"/>
      <c r="H369" s="1120">
        <f>+SUMIF('Sumaria renta 20x3'!G:G,'2516 20x3'!A369,'Sumaria renta 20x3'!C:C)</f>
        <v>0</v>
      </c>
      <c r="I369" s="1118"/>
      <c r="J369" s="842">
        <f t="shared" si="127"/>
        <v>0</v>
      </c>
      <c r="K369" s="842">
        <f t="shared" si="128"/>
        <v>0</v>
      </c>
      <c r="L369" s="842">
        <f>+SUMIF('Sumaria renta 20x3'!G:G,'2516 20x3'!A369,'Sumaria renta 20x3'!E:E)</f>
        <v>0</v>
      </c>
    </row>
    <row r="370" spans="1:13" outlineLevel="1" x14ac:dyDescent="0.2">
      <c r="A370" s="884">
        <v>353</v>
      </c>
      <c r="B370" s="881"/>
      <c r="D370" s="1531" t="s">
        <v>1699</v>
      </c>
      <c r="E370" s="1532"/>
      <c r="F370" s="1532"/>
      <c r="G370" s="1533"/>
      <c r="H370" s="1120">
        <f>+SUMIF('Sumaria renta 20x3'!G:G,'2516 20x3'!A370,'Sumaria renta 20x3'!C:C)</f>
        <v>0</v>
      </c>
      <c r="I370" s="1118"/>
      <c r="J370" s="842">
        <f t="shared" si="127"/>
        <v>0</v>
      </c>
      <c r="K370" s="842">
        <f t="shared" si="128"/>
        <v>0</v>
      </c>
      <c r="L370" s="842">
        <f>+SUMIF('Sumaria renta 20x3'!G:G,'2516 20x3'!A370,'Sumaria renta 20x3'!E:E)</f>
        <v>0</v>
      </c>
    </row>
    <row r="371" spans="1:13" outlineLevel="1" x14ac:dyDescent="0.2">
      <c r="A371" s="884">
        <v>354</v>
      </c>
      <c r="B371" s="881"/>
      <c r="D371" s="1531" t="s">
        <v>1700</v>
      </c>
      <c r="E371" s="1532"/>
      <c r="F371" s="1532"/>
      <c r="G371" s="1533"/>
      <c r="H371" s="1120">
        <f>+SUMIF('Sumaria renta 20x3'!G:G,'2516 20x3'!A371,'Sumaria renta 20x3'!C:C)</f>
        <v>0</v>
      </c>
      <c r="I371" s="1118"/>
      <c r="J371" s="842">
        <f t="shared" si="127"/>
        <v>0</v>
      </c>
      <c r="K371" s="842">
        <f t="shared" si="128"/>
        <v>0</v>
      </c>
      <c r="L371" s="842">
        <f>+SUMIF('Sumaria renta 20x3'!G:G,'2516 20x3'!A371,'Sumaria renta 20x3'!E:E)</f>
        <v>0</v>
      </c>
    </row>
    <row r="372" spans="1:13" outlineLevel="1" x14ac:dyDescent="0.2">
      <c r="A372" s="884">
        <v>356</v>
      </c>
      <c r="B372" s="881"/>
      <c r="D372" s="1557" t="s">
        <v>1701</v>
      </c>
      <c r="E372" s="1558"/>
      <c r="F372" s="1558"/>
      <c r="G372" s="1559"/>
      <c r="H372" s="1129">
        <f>+SUMIF('Sumaria renta 20x3'!G:G,'2516 20x3'!A372,'Sumaria renta 20x3'!C:C)</f>
        <v>0</v>
      </c>
      <c r="I372" s="1130"/>
      <c r="J372" s="1131">
        <f t="shared" si="127"/>
        <v>0</v>
      </c>
      <c r="K372" s="1131">
        <f t="shared" si="128"/>
        <v>0</v>
      </c>
      <c r="L372" s="1131">
        <f>+SUMIF('Sumaria renta 20x3'!G:G,'2516 20x3'!A372,'Sumaria renta 20x3'!E:E)</f>
        <v>0</v>
      </c>
    </row>
    <row r="373" spans="1:13" outlineLevel="1" x14ac:dyDescent="0.2">
      <c r="A373" s="880">
        <v>357</v>
      </c>
      <c r="B373" s="881"/>
      <c r="D373" s="1534" t="s">
        <v>1702</v>
      </c>
      <c r="E373" s="1535"/>
      <c r="F373" s="1535"/>
      <c r="G373" s="1536"/>
      <c r="H373" s="887">
        <f t="shared" ref="H373:K373" si="129">+H261+H289+H308+H314+H323+H332+H345+H353+H358+H365+H366-H372</f>
        <v>0</v>
      </c>
      <c r="I373" s="887">
        <f t="shared" si="129"/>
        <v>0</v>
      </c>
      <c r="J373" s="887">
        <f t="shared" si="129"/>
        <v>0</v>
      </c>
      <c r="K373" s="887">
        <f t="shared" si="129"/>
        <v>0</v>
      </c>
      <c r="L373" s="887">
        <f>+L261+L289+L308+L314+L323+L332+L345+L353+L358+L365+L366-L372</f>
        <v>0</v>
      </c>
      <c r="M373" s="1161">
        <f>+L373-'110 Renta 20x3'!Q49</f>
        <v>0</v>
      </c>
    </row>
    <row r="374" spans="1:13" outlineLevel="1" x14ac:dyDescent="0.2">
      <c r="A374" s="880">
        <v>358</v>
      </c>
      <c r="B374" s="881"/>
      <c r="D374" s="1511" t="s">
        <v>1703</v>
      </c>
      <c r="E374" s="1512"/>
      <c r="F374" s="1512"/>
      <c r="G374" s="1513"/>
      <c r="H374" s="888"/>
      <c r="I374" s="888"/>
      <c r="J374" s="888"/>
      <c r="K374" s="888"/>
      <c r="L374" s="889"/>
    </row>
    <row r="375" spans="1:13" ht="27" customHeight="1" outlineLevel="1" x14ac:dyDescent="0.2">
      <c r="A375" s="880">
        <v>359</v>
      </c>
      <c r="B375" s="881"/>
      <c r="D375" s="1534" t="s">
        <v>1704</v>
      </c>
      <c r="E375" s="1535"/>
      <c r="F375" s="1535"/>
      <c r="G375" s="1536"/>
      <c r="H375" s="1136">
        <f>+SUM(H376:H391)</f>
        <v>0</v>
      </c>
      <c r="I375" s="1136">
        <f t="shared" ref="I375:L375" si="130">+SUM(I376:I391)</f>
        <v>0</v>
      </c>
      <c r="J375" s="1136">
        <f t="shared" si="130"/>
        <v>0</v>
      </c>
      <c r="K375" s="1136">
        <f t="shared" si="130"/>
        <v>0</v>
      </c>
      <c r="L375" s="1136">
        <f t="shared" si="130"/>
        <v>0</v>
      </c>
    </row>
    <row r="376" spans="1:13" ht="12.75" customHeight="1" outlineLevel="1" x14ac:dyDescent="0.2">
      <c r="A376" s="884">
        <v>360</v>
      </c>
      <c r="B376" s="881"/>
      <c r="D376" s="1531" t="s">
        <v>1705</v>
      </c>
      <c r="E376" s="1532"/>
      <c r="F376" s="1532"/>
      <c r="G376" s="1533"/>
      <c r="H376" s="1129">
        <f>+SUMIF('Sumaria renta 20x3'!G:G,'2516 20x3'!A376,'Sumaria renta 20x3'!C:C)</f>
        <v>0</v>
      </c>
      <c r="I376" s="1118"/>
      <c r="J376" s="842">
        <f t="shared" ref="J376:J391" si="131">+IF((H376&gt;L376),(H376-L376),0)</f>
        <v>0</v>
      </c>
      <c r="K376" s="842">
        <f t="shared" ref="K376:K391" si="132">+IF((H376&lt;L376),(L376-H376),0)</f>
        <v>0</v>
      </c>
      <c r="L376" s="842">
        <f>+SUMIF('Sumaria renta 20x3'!G:G,'2516 20x3'!A376,'Sumaria renta 20x3'!E:E)</f>
        <v>0</v>
      </c>
    </row>
    <row r="377" spans="1:13" outlineLevel="1" x14ac:dyDescent="0.2">
      <c r="A377" s="884">
        <v>361</v>
      </c>
      <c r="B377" s="881"/>
      <c r="C377" s="1528" t="s">
        <v>1706</v>
      </c>
      <c r="D377" s="1531" t="s">
        <v>1707</v>
      </c>
      <c r="E377" s="1532"/>
      <c r="F377" s="1532"/>
      <c r="G377" s="1533"/>
      <c r="H377" s="1120">
        <f>+SUMIF('Sumaria renta 20x3'!G:G,'2516 20x3'!A377,'Sumaria renta 20x3'!C:C)</f>
        <v>0</v>
      </c>
      <c r="I377" s="1118"/>
      <c r="J377" s="842">
        <f t="shared" si="131"/>
        <v>0</v>
      </c>
      <c r="K377" s="842">
        <f t="shared" si="132"/>
        <v>0</v>
      </c>
      <c r="L377" s="842">
        <f>+SUMIF('Sumaria renta 20x3'!G:G,'2516 20x3'!A377,'Sumaria renta 20x3'!E:E)</f>
        <v>0</v>
      </c>
    </row>
    <row r="378" spans="1:13" outlineLevel="1" x14ac:dyDescent="0.2">
      <c r="A378" s="884">
        <v>362</v>
      </c>
      <c r="B378" s="881"/>
      <c r="C378" s="1530"/>
      <c r="D378" s="1531" t="s">
        <v>1708</v>
      </c>
      <c r="E378" s="1532"/>
      <c r="F378" s="1532"/>
      <c r="G378" s="1533"/>
      <c r="H378" s="1120">
        <f>+SUMIF('Sumaria renta 20x3'!G:G,'2516 20x3'!A378,'Sumaria renta 20x3'!C:C)</f>
        <v>0</v>
      </c>
      <c r="I378" s="1118"/>
      <c r="J378" s="842">
        <f t="shared" si="131"/>
        <v>0</v>
      </c>
      <c r="K378" s="842">
        <f t="shared" si="132"/>
        <v>0</v>
      </c>
      <c r="L378" s="842">
        <f>+SUMIF('Sumaria renta 20x3'!G:G,'2516 20x3'!A378,'Sumaria renta 20x3'!E:E)</f>
        <v>0</v>
      </c>
    </row>
    <row r="379" spans="1:13" outlineLevel="1" x14ac:dyDescent="0.2">
      <c r="A379" s="884">
        <v>363</v>
      </c>
      <c r="B379" s="881"/>
      <c r="C379" s="1530"/>
      <c r="D379" s="1531" t="s">
        <v>1709</v>
      </c>
      <c r="E379" s="1532"/>
      <c r="F379" s="1532"/>
      <c r="G379" s="1533"/>
      <c r="H379" s="1120">
        <f>+SUMIF('Sumaria renta 20x3'!G:G,'2516 20x3'!A379,'Sumaria renta 20x3'!C:C)</f>
        <v>0</v>
      </c>
      <c r="I379" s="1118"/>
      <c r="J379" s="842">
        <f t="shared" si="131"/>
        <v>0</v>
      </c>
      <c r="K379" s="842">
        <f t="shared" si="132"/>
        <v>0</v>
      </c>
      <c r="L379" s="842">
        <f>+SUMIF('Sumaria renta 20x3'!G:G,'2516 20x3'!A379,'Sumaria renta 20x3'!E:E)</f>
        <v>0</v>
      </c>
    </row>
    <row r="380" spans="1:13" outlineLevel="1" x14ac:dyDescent="0.2">
      <c r="A380" s="884">
        <v>364</v>
      </c>
      <c r="B380" s="881"/>
      <c r="C380" s="1530"/>
      <c r="D380" s="1531" t="s">
        <v>1710</v>
      </c>
      <c r="E380" s="1532"/>
      <c r="F380" s="1532"/>
      <c r="G380" s="1533"/>
      <c r="H380" s="1120">
        <f>+SUMIF('Sumaria renta 20x3'!G:G,'2516 20x3'!A380,'Sumaria renta 20x3'!C:C)</f>
        <v>0</v>
      </c>
      <c r="I380" s="1118"/>
      <c r="J380" s="842">
        <f t="shared" si="131"/>
        <v>0</v>
      </c>
      <c r="K380" s="842">
        <f t="shared" si="132"/>
        <v>0</v>
      </c>
      <c r="L380" s="842">
        <f>+SUMIF('Sumaria renta 20x3'!G:G,'2516 20x3'!A380,'Sumaria renta 20x3'!E:E)</f>
        <v>0</v>
      </c>
    </row>
    <row r="381" spans="1:13" outlineLevel="1" x14ac:dyDescent="0.2">
      <c r="A381" s="884">
        <v>365</v>
      </c>
      <c r="B381" s="881"/>
      <c r="C381" s="1528" t="s">
        <v>1711</v>
      </c>
      <c r="D381" s="1531" t="s">
        <v>1707</v>
      </c>
      <c r="E381" s="1532"/>
      <c r="F381" s="1532"/>
      <c r="G381" s="1533"/>
      <c r="H381" s="1120">
        <f>+SUMIF('Sumaria renta 20x3'!G:G,'2516 20x3'!A381,'Sumaria renta 20x3'!C:C)</f>
        <v>0</v>
      </c>
      <c r="I381" s="1118"/>
      <c r="J381" s="842">
        <f t="shared" si="131"/>
        <v>0</v>
      </c>
      <c r="K381" s="842">
        <f t="shared" si="132"/>
        <v>0</v>
      </c>
      <c r="L381" s="842">
        <f>+SUMIF('Sumaria renta 20x3'!G:G,'2516 20x3'!A381,'Sumaria renta 20x3'!E:E)</f>
        <v>0</v>
      </c>
    </row>
    <row r="382" spans="1:13" outlineLevel="1" x14ac:dyDescent="0.2">
      <c r="A382" s="884">
        <v>366</v>
      </c>
      <c r="B382" s="881"/>
      <c r="C382" s="1530"/>
      <c r="D382" s="1531" t="s">
        <v>1708</v>
      </c>
      <c r="E382" s="1532"/>
      <c r="F382" s="1532"/>
      <c r="G382" s="1533"/>
      <c r="H382" s="1120">
        <f>+SUMIF('Sumaria renta 20x3'!G:G,'2516 20x3'!A382,'Sumaria renta 20x3'!C:C)</f>
        <v>0</v>
      </c>
      <c r="I382" s="1118"/>
      <c r="J382" s="842">
        <f t="shared" si="131"/>
        <v>0</v>
      </c>
      <c r="K382" s="842">
        <f t="shared" si="132"/>
        <v>0</v>
      </c>
      <c r="L382" s="842">
        <f>+SUMIF('Sumaria renta 20x3'!G:G,'2516 20x3'!A382,'Sumaria renta 20x3'!E:E)</f>
        <v>0</v>
      </c>
    </row>
    <row r="383" spans="1:13" outlineLevel="1" x14ac:dyDescent="0.2">
      <c r="A383" s="884">
        <v>367</v>
      </c>
      <c r="B383" s="881"/>
      <c r="C383" s="1530"/>
      <c r="D383" s="1531" t="s">
        <v>1709</v>
      </c>
      <c r="E383" s="1532"/>
      <c r="F383" s="1532"/>
      <c r="G383" s="1533"/>
      <c r="H383" s="1120">
        <f>+SUMIF('Sumaria renta 20x3'!G:G,'2516 20x3'!A383,'Sumaria renta 20x3'!C:C)</f>
        <v>0</v>
      </c>
      <c r="I383" s="1118"/>
      <c r="J383" s="842">
        <f t="shared" si="131"/>
        <v>0</v>
      </c>
      <c r="K383" s="842">
        <f t="shared" si="132"/>
        <v>0</v>
      </c>
      <c r="L383" s="842">
        <f>+SUMIF('Sumaria renta 20x3'!G:G,'2516 20x3'!A383,'Sumaria renta 20x3'!E:E)</f>
        <v>0</v>
      </c>
    </row>
    <row r="384" spans="1:13" outlineLevel="1" x14ac:dyDescent="0.2">
      <c r="A384" s="884">
        <v>368</v>
      </c>
      <c r="B384" s="881"/>
      <c r="C384" s="1529"/>
      <c r="D384" s="1531" t="s">
        <v>1710</v>
      </c>
      <c r="E384" s="1532"/>
      <c r="F384" s="1532"/>
      <c r="G384" s="1533"/>
      <c r="H384" s="1120">
        <f>+SUMIF('Sumaria renta 20x3'!G:G,'2516 20x3'!A384,'Sumaria renta 20x3'!C:C)</f>
        <v>0</v>
      </c>
      <c r="I384" s="1118"/>
      <c r="J384" s="842">
        <f t="shared" si="131"/>
        <v>0</v>
      </c>
      <c r="K384" s="842">
        <f t="shared" si="132"/>
        <v>0</v>
      </c>
      <c r="L384" s="842">
        <f>+SUMIF('Sumaria renta 20x3'!G:G,'2516 20x3'!A384,'Sumaria renta 20x3'!E:E)</f>
        <v>0</v>
      </c>
    </row>
    <row r="385" spans="1:12" outlineLevel="1" x14ac:dyDescent="0.2">
      <c r="A385" s="884">
        <v>369</v>
      </c>
      <c r="B385" s="881"/>
      <c r="C385" s="1528" t="s">
        <v>590</v>
      </c>
      <c r="D385" s="1531" t="s">
        <v>1707</v>
      </c>
      <c r="E385" s="1532"/>
      <c r="F385" s="1532"/>
      <c r="G385" s="1533"/>
      <c r="H385" s="1120">
        <f>+SUMIF('Sumaria renta 20x3'!G:G,'2516 20x3'!A385,'Sumaria renta 20x3'!C:C)</f>
        <v>0</v>
      </c>
      <c r="I385" s="1118"/>
      <c r="J385" s="842">
        <f t="shared" si="131"/>
        <v>0</v>
      </c>
      <c r="K385" s="842">
        <f t="shared" si="132"/>
        <v>0</v>
      </c>
      <c r="L385" s="842">
        <f>+SUMIF('Sumaria renta 20x3'!G:G,'2516 20x3'!A385,'Sumaria renta 20x3'!E:E)</f>
        <v>0</v>
      </c>
    </row>
    <row r="386" spans="1:12" outlineLevel="1" x14ac:dyDescent="0.2">
      <c r="A386" s="884">
        <v>370</v>
      </c>
      <c r="B386" s="881"/>
      <c r="C386" s="1529"/>
      <c r="D386" s="1531" t="s">
        <v>1710</v>
      </c>
      <c r="E386" s="1532"/>
      <c r="F386" s="1532"/>
      <c r="G386" s="1533"/>
      <c r="H386" s="1120">
        <f>+SUMIF('Sumaria renta 20x3'!G:G,'2516 20x3'!A386,'Sumaria renta 20x3'!C:C)</f>
        <v>0</v>
      </c>
      <c r="I386" s="1118"/>
      <c r="J386" s="842">
        <f t="shared" si="131"/>
        <v>0</v>
      </c>
      <c r="K386" s="842">
        <f t="shared" si="132"/>
        <v>0</v>
      </c>
      <c r="L386" s="842">
        <f>+SUMIF('Sumaria renta 20x3'!G:G,'2516 20x3'!A386,'Sumaria renta 20x3'!E:E)</f>
        <v>0</v>
      </c>
    </row>
    <row r="387" spans="1:12" outlineLevel="1" x14ac:dyDescent="0.2">
      <c r="A387" s="884">
        <v>371</v>
      </c>
      <c r="B387" s="881"/>
      <c r="C387" s="1530" t="s">
        <v>1712</v>
      </c>
      <c r="D387" s="1531" t="s">
        <v>1707</v>
      </c>
      <c r="E387" s="1532"/>
      <c r="F387" s="1532"/>
      <c r="G387" s="1533"/>
      <c r="H387" s="1120">
        <f>+SUMIF('Sumaria renta 20x3'!G:G,'2516 20x3'!A387,'Sumaria renta 20x3'!C:C)</f>
        <v>0</v>
      </c>
      <c r="I387" s="1118"/>
      <c r="J387" s="842">
        <f t="shared" si="131"/>
        <v>0</v>
      </c>
      <c r="K387" s="842">
        <f t="shared" si="132"/>
        <v>0</v>
      </c>
      <c r="L387" s="842">
        <f>+SUMIF('Sumaria renta 20x3'!G:G,'2516 20x3'!A387,'Sumaria renta 20x3'!E:E)</f>
        <v>0</v>
      </c>
    </row>
    <row r="388" spans="1:12" outlineLevel="1" x14ac:dyDescent="0.2">
      <c r="A388" s="884">
        <v>372</v>
      </c>
      <c r="B388" s="881"/>
      <c r="C388" s="1529"/>
      <c r="D388" s="1531" t="s">
        <v>1710</v>
      </c>
      <c r="E388" s="1532"/>
      <c r="F388" s="1532"/>
      <c r="G388" s="1533"/>
      <c r="H388" s="1120">
        <f>+SUMIF('Sumaria renta 20x3'!G:G,'2516 20x3'!A388,'Sumaria renta 20x3'!C:C)</f>
        <v>0</v>
      </c>
      <c r="I388" s="1118"/>
      <c r="J388" s="842">
        <f t="shared" si="131"/>
        <v>0</v>
      </c>
      <c r="K388" s="842">
        <f t="shared" si="132"/>
        <v>0</v>
      </c>
      <c r="L388" s="842">
        <f>+SUMIF('Sumaria renta 20x3'!G:G,'2516 20x3'!A388,'Sumaria renta 20x3'!E:E)</f>
        <v>0</v>
      </c>
    </row>
    <row r="389" spans="1:12" ht="22.5" customHeight="1" outlineLevel="1" x14ac:dyDescent="0.2">
      <c r="A389" s="884">
        <v>373</v>
      </c>
      <c r="B389" s="881"/>
      <c r="D389" s="1531" t="s">
        <v>1713</v>
      </c>
      <c r="E389" s="1532"/>
      <c r="F389" s="1532"/>
      <c r="G389" s="1533"/>
      <c r="H389" s="1120">
        <f>+SUMIF('Sumaria renta 20x3'!G:G,'2516 20x3'!A389,'Sumaria renta 20x3'!C:C)</f>
        <v>0</v>
      </c>
      <c r="I389" s="1118"/>
      <c r="J389" s="842">
        <f t="shared" si="131"/>
        <v>0</v>
      </c>
      <c r="K389" s="842">
        <f t="shared" si="132"/>
        <v>0</v>
      </c>
      <c r="L389" s="842">
        <f>+SUMIF('Sumaria renta 20x3'!G:G,'2516 20x3'!A389,'Sumaria renta 20x3'!E:E)</f>
        <v>0</v>
      </c>
    </row>
    <row r="390" spans="1:12" outlineLevel="1" x14ac:dyDescent="0.2">
      <c r="A390" s="884">
        <v>374</v>
      </c>
      <c r="B390" s="881"/>
      <c r="D390" s="1531" t="s">
        <v>1714</v>
      </c>
      <c r="E390" s="1532"/>
      <c r="F390" s="1532"/>
      <c r="G390" s="1533"/>
      <c r="H390" s="1120">
        <f>+SUMIF('Sumaria renta 20x3'!G:G,'2516 20x3'!A390,'Sumaria renta 20x3'!C:C)</f>
        <v>0</v>
      </c>
      <c r="I390" s="1118"/>
      <c r="J390" s="842">
        <f t="shared" si="131"/>
        <v>0</v>
      </c>
      <c r="K390" s="842">
        <f t="shared" si="132"/>
        <v>0</v>
      </c>
      <c r="L390" s="842">
        <f>+SUMIF('Sumaria renta 20x3'!G:G,'2516 20x3'!A390,'Sumaria renta 20x3'!E:E)</f>
        <v>0</v>
      </c>
    </row>
    <row r="391" spans="1:12" outlineLevel="1" x14ac:dyDescent="0.2">
      <c r="A391" s="884">
        <v>375</v>
      </c>
      <c r="B391" s="881"/>
      <c r="D391" s="1531" t="s">
        <v>1715</v>
      </c>
      <c r="E391" s="1532"/>
      <c r="F391" s="1532"/>
      <c r="G391" s="1533"/>
      <c r="H391" s="1120">
        <f>+SUMIF('Sumaria renta 20x3'!G:G,'2516 20x3'!A391,'Sumaria renta 20x3'!C:C)</f>
        <v>0</v>
      </c>
      <c r="I391" s="1118"/>
      <c r="J391" s="842">
        <f t="shared" si="131"/>
        <v>0</v>
      </c>
      <c r="K391" s="842">
        <f t="shared" si="132"/>
        <v>0</v>
      </c>
      <c r="L391" s="842">
        <f>+SUMIF('Sumaria renta 20x3'!G:G,'2516 20x3'!A391,'Sumaria renta 20x3'!E:E)</f>
        <v>0</v>
      </c>
    </row>
    <row r="392" spans="1:12" outlineLevel="1" x14ac:dyDescent="0.2">
      <c r="A392" s="880">
        <v>376</v>
      </c>
      <c r="B392" s="881"/>
      <c r="D392" s="1534" t="s">
        <v>1716</v>
      </c>
      <c r="E392" s="1535"/>
      <c r="F392" s="1535"/>
      <c r="G392" s="1536"/>
      <c r="H392" s="1136">
        <f>+SUM(H393:H396)</f>
        <v>0</v>
      </c>
      <c r="I392" s="1136">
        <f t="shared" ref="I392:L392" si="133">+SUM(I393:I396)</f>
        <v>0</v>
      </c>
      <c r="J392" s="1136">
        <f t="shared" si="133"/>
        <v>0</v>
      </c>
      <c r="K392" s="1136">
        <f t="shared" si="133"/>
        <v>0</v>
      </c>
      <c r="L392" s="1136">
        <f t="shared" si="133"/>
        <v>0</v>
      </c>
    </row>
    <row r="393" spans="1:12" ht="25.5" customHeight="1" outlineLevel="1" x14ac:dyDescent="0.2">
      <c r="A393" s="884">
        <v>377</v>
      </c>
      <c r="B393" s="881"/>
      <c r="C393" s="1528" t="s">
        <v>1717</v>
      </c>
      <c r="D393" s="1531" t="s">
        <v>1546</v>
      </c>
      <c r="E393" s="1532"/>
      <c r="F393" s="1532"/>
      <c r="G393" s="1533"/>
      <c r="H393" s="1120">
        <f>+SUMIF('Sumaria renta 20x3'!G:G,'2516 20x3'!A393,'Sumaria renta 20x3'!C:C)</f>
        <v>0</v>
      </c>
      <c r="I393" s="1118"/>
      <c r="J393" s="842">
        <f t="shared" ref="J393:J396" si="134">+IF((H393&gt;L393),(H393-L393),0)</f>
        <v>0</v>
      </c>
      <c r="K393" s="842">
        <f t="shared" ref="K393:K396" si="135">+IF((H393&lt;L393),(L393-H393),0)</f>
        <v>0</v>
      </c>
      <c r="L393" s="842">
        <f>+SUMIF('Sumaria renta 20x3'!G:G,'2516 20x3'!A393,'Sumaria renta 20x3'!E:E)</f>
        <v>0</v>
      </c>
    </row>
    <row r="394" spans="1:12" outlineLevel="1" x14ac:dyDescent="0.2">
      <c r="A394" s="884">
        <v>378</v>
      </c>
      <c r="B394" s="881"/>
      <c r="C394" s="1530"/>
      <c r="D394" s="1531" t="s">
        <v>1547</v>
      </c>
      <c r="E394" s="1532"/>
      <c r="F394" s="1532"/>
      <c r="G394" s="1533"/>
      <c r="H394" s="1120">
        <f>+SUMIF('Sumaria renta 20x3'!G:G,'2516 20x3'!A394,'Sumaria renta 20x3'!C:C)</f>
        <v>0</v>
      </c>
      <c r="I394" s="1118"/>
      <c r="J394" s="842">
        <f t="shared" si="134"/>
        <v>0</v>
      </c>
      <c r="K394" s="842">
        <f t="shared" si="135"/>
        <v>0</v>
      </c>
      <c r="L394" s="842">
        <f>+SUMIF('Sumaria renta 20x3'!G:G,'2516 20x3'!A394,'Sumaria renta 20x3'!E:E)</f>
        <v>0</v>
      </c>
    </row>
    <row r="395" spans="1:12" outlineLevel="1" x14ac:dyDescent="0.2">
      <c r="A395" s="884">
        <v>379</v>
      </c>
      <c r="B395" s="881"/>
      <c r="C395" s="1530"/>
      <c r="D395" s="1531" t="s">
        <v>1718</v>
      </c>
      <c r="E395" s="1532"/>
      <c r="F395" s="1532"/>
      <c r="G395" s="1533"/>
      <c r="H395" s="1120">
        <f>+SUMIF('Sumaria renta 20x3'!G:G,'2516 20x3'!A395,'Sumaria renta 20x3'!C:C)</f>
        <v>0</v>
      </c>
      <c r="I395" s="1118"/>
      <c r="J395" s="842">
        <f t="shared" si="134"/>
        <v>0</v>
      </c>
      <c r="K395" s="842">
        <f t="shared" si="135"/>
        <v>0</v>
      </c>
      <c r="L395" s="842">
        <f>+SUMIF('Sumaria renta 20x3'!G:G,'2516 20x3'!A395,'Sumaria renta 20x3'!E:E)</f>
        <v>0</v>
      </c>
    </row>
    <row r="396" spans="1:12" outlineLevel="1" x14ac:dyDescent="0.2">
      <c r="A396" s="884">
        <v>380</v>
      </c>
      <c r="B396" s="881"/>
      <c r="C396" s="1529"/>
      <c r="D396" s="1531" t="s">
        <v>1719</v>
      </c>
      <c r="E396" s="1532"/>
      <c r="F396" s="1532"/>
      <c r="G396" s="1533"/>
      <c r="H396" s="1120">
        <f>+SUMIF('Sumaria renta 20x3'!G:G,'2516 20x3'!A396,'Sumaria renta 20x3'!C:C)</f>
        <v>0</v>
      </c>
      <c r="I396" s="1118"/>
      <c r="J396" s="842">
        <f t="shared" si="134"/>
        <v>0</v>
      </c>
      <c r="K396" s="842">
        <f t="shared" si="135"/>
        <v>0</v>
      </c>
      <c r="L396" s="842">
        <f>+SUMIF('Sumaria renta 20x3'!G:G,'2516 20x3'!A396,'Sumaria renta 20x3'!E:E)</f>
        <v>0</v>
      </c>
    </row>
    <row r="397" spans="1:12" outlineLevel="1" x14ac:dyDescent="0.2">
      <c r="A397" s="880">
        <v>381</v>
      </c>
      <c r="B397" s="881"/>
      <c r="D397" s="1534" t="s">
        <v>1720</v>
      </c>
      <c r="E397" s="1535"/>
      <c r="F397" s="1535"/>
      <c r="G397" s="1536"/>
      <c r="H397" s="1136">
        <f>+SUM(H398:H421)</f>
        <v>0</v>
      </c>
      <c r="I397" s="1136">
        <f t="shared" ref="I397:L397" si="136">+SUM(I398:I421)</f>
        <v>0</v>
      </c>
      <c r="J397" s="1136">
        <f t="shared" si="136"/>
        <v>0</v>
      </c>
      <c r="K397" s="1136">
        <f t="shared" si="136"/>
        <v>0</v>
      </c>
      <c r="L397" s="1136">
        <f t="shared" si="136"/>
        <v>0</v>
      </c>
    </row>
    <row r="398" spans="1:12" outlineLevel="1" x14ac:dyDescent="0.2">
      <c r="A398" s="884">
        <v>382</v>
      </c>
      <c r="B398" s="881"/>
      <c r="C398" s="1528" t="s">
        <v>1721</v>
      </c>
      <c r="D398" s="1531" t="s">
        <v>1722</v>
      </c>
      <c r="E398" s="1532"/>
      <c r="F398" s="1532"/>
      <c r="G398" s="1533"/>
      <c r="H398" s="1120">
        <f>+SUMIF('Sumaria renta 20x3'!G:G,'2516 20x3'!A398,'Sumaria renta 20x3'!C:C)</f>
        <v>0</v>
      </c>
      <c r="I398" s="1118"/>
      <c r="J398" s="842">
        <f t="shared" ref="J398:J420" si="137">+IF((H398&gt;L398),(H398-L398),0)</f>
        <v>0</v>
      </c>
      <c r="K398" s="842">
        <f t="shared" ref="K398:K420" si="138">+IF((H398&lt;L398),(L398-H398),0)</f>
        <v>0</v>
      </c>
      <c r="L398" s="842">
        <f>+SUMIF('Sumaria renta 20x3'!G:G,'2516 20x3'!A398,'Sumaria renta 20x3'!E:E)</f>
        <v>0</v>
      </c>
    </row>
    <row r="399" spans="1:12" ht="27.75" customHeight="1" outlineLevel="1" x14ac:dyDescent="0.2">
      <c r="A399" s="884">
        <v>383</v>
      </c>
      <c r="B399" s="881"/>
      <c r="C399" s="1530"/>
      <c r="D399" s="1531" t="s">
        <v>1723</v>
      </c>
      <c r="E399" s="1532"/>
      <c r="F399" s="1532"/>
      <c r="G399" s="1533"/>
      <c r="H399" s="1120">
        <f>+SUMIF('Sumaria renta 20x3'!G:G,'2516 20x3'!A399,'Sumaria renta 20x3'!C:C)</f>
        <v>0</v>
      </c>
      <c r="I399" s="1118"/>
      <c r="J399" s="842">
        <f t="shared" si="137"/>
        <v>0</v>
      </c>
      <c r="K399" s="842">
        <f t="shared" si="138"/>
        <v>0</v>
      </c>
      <c r="L399" s="842">
        <f>+SUMIF('Sumaria renta 20x3'!G:G,'2516 20x3'!A399,'Sumaria renta 20x3'!E:E)</f>
        <v>0</v>
      </c>
    </row>
    <row r="400" spans="1:12" outlineLevel="1" x14ac:dyDescent="0.2">
      <c r="A400" s="884">
        <v>384</v>
      </c>
      <c r="B400" s="881"/>
      <c r="C400" s="1528" t="s">
        <v>1724</v>
      </c>
      <c r="D400" s="1531" t="s">
        <v>1725</v>
      </c>
      <c r="E400" s="1532"/>
      <c r="F400" s="1532"/>
      <c r="G400" s="1533"/>
      <c r="H400" s="1120">
        <f>+SUMIF('Sumaria renta 20x3'!G:G,'2516 20x3'!A400,'Sumaria renta 20x3'!C:C)</f>
        <v>0</v>
      </c>
      <c r="I400" s="1118"/>
      <c r="J400" s="842">
        <f t="shared" si="137"/>
        <v>0</v>
      </c>
      <c r="K400" s="842">
        <f t="shared" si="138"/>
        <v>0</v>
      </c>
      <c r="L400" s="842">
        <f>+SUMIF('Sumaria renta 20x3'!G:G,'2516 20x3'!A400,'Sumaria renta 20x3'!E:E)</f>
        <v>0</v>
      </c>
    </row>
    <row r="401" spans="1:12" ht="26.25" customHeight="1" outlineLevel="1" x14ac:dyDescent="0.2">
      <c r="A401" s="884">
        <v>385</v>
      </c>
      <c r="B401" s="881"/>
      <c r="C401" s="1529"/>
      <c r="D401" s="1531" t="s">
        <v>1723</v>
      </c>
      <c r="E401" s="1532"/>
      <c r="F401" s="1532"/>
      <c r="G401" s="1533"/>
      <c r="H401" s="1120">
        <f>+SUMIF('Sumaria renta 20x3'!G:G,'2516 20x3'!A401,'Sumaria renta 20x3'!C:C)</f>
        <v>0</v>
      </c>
      <c r="I401" s="1118"/>
      <c r="J401" s="842">
        <f t="shared" si="137"/>
        <v>0</v>
      </c>
      <c r="K401" s="842">
        <f t="shared" si="138"/>
        <v>0</v>
      </c>
      <c r="L401" s="842">
        <f>+SUMIF('Sumaria renta 20x3'!G:G,'2516 20x3'!A401,'Sumaria renta 20x3'!E:E)</f>
        <v>0</v>
      </c>
    </row>
    <row r="402" spans="1:12" outlineLevel="1" x14ac:dyDescent="0.2">
      <c r="A402" s="884">
        <v>386</v>
      </c>
      <c r="B402" s="881"/>
      <c r="C402" s="1528" t="s">
        <v>1726</v>
      </c>
      <c r="D402" s="1531" t="s">
        <v>1725</v>
      </c>
      <c r="E402" s="1532"/>
      <c r="F402" s="1532"/>
      <c r="G402" s="1533"/>
      <c r="H402" s="1120">
        <f>+SUMIF('Sumaria renta 20x3'!G:G,'2516 20x3'!A402,'Sumaria renta 20x3'!C:C)</f>
        <v>0</v>
      </c>
      <c r="I402" s="1118"/>
      <c r="J402" s="842">
        <f t="shared" si="137"/>
        <v>0</v>
      </c>
      <c r="K402" s="842">
        <f t="shared" si="138"/>
        <v>0</v>
      </c>
      <c r="L402" s="842">
        <f>+SUMIF('Sumaria renta 20x3'!G:G,'2516 20x3'!A402,'Sumaria renta 20x3'!E:E)</f>
        <v>0</v>
      </c>
    </row>
    <row r="403" spans="1:12" ht="23.25" customHeight="1" outlineLevel="1" x14ac:dyDescent="0.2">
      <c r="A403" s="884">
        <v>387</v>
      </c>
      <c r="B403" s="881"/>
      <c r="C403" s="1529"/>
      <c r="D403" s="1531" t="s">
        <v>1723</v>
      </c>
      <c r="E403" s="1532"/>
      <c r="F403" s="1532"/>
      <c r="G403" s="1533"/>
      <c r="H403" s="1120">
        <f>+SUMIF('Sumaria renta 20x3'!G:G,'2516 20x3'!A403,'Sumaria renta 20x3'!C:C)</f>
        <v>0</v>
      </c>
      <c r="I403" s="1118"/>
      <c r="J403" s="842">
        <f t="shared" si="137"/>
        <v>0</v>
      </c>
      <c r="K403" s="842">
        <f t="shared" si="138"/>
        <v>0</v>
      </c>
      <c r="L403" s="842">
        <f>+SUMIF('Sumaria renta 20x3'!G:G,'2516 20x3'!A403,'Sumaria renta 20x3'!E:E)</f>
        <v>0</v>
      </c>
    </row>
    <row r="404" spans="1:12" outlineLevel="1" x14ac:dyDescent="0.2">
      <c r="A404" s="884">
        <v>388</v>
      </c>
      <c r="B404" s="881"/>
      <c r="C404" s="1530" t="s">
        <v>1727</v>
      </c>
      <c r="D404" s="1531" t="s">
        <v>1725</v>
      </c>
      <c r="E404" s="1532"/>
      <c r="F404" s="1532"/>
      <c r="G404" s="1533"/>
      <c r="H404" s="1120">
        <f>+SUMIF('Sumaria renta 20x3'!G:G,'2516 20x3'!A404,'Sumaria renta 20x3'!C:C)</f>
        <v>0</v>
      </c>
      <c r="I404" s="1118"/>
      <c r="J404" s="842">
        <f t="shared" si="137"/>
        <v>0</v>
      </c>
      <c r="K404" s="842">
        <f t="shared" si="138"/>
        <v>0</v>
      </c>
      <c r="L404" s="842">
        <f>+SUMIF('Sumaria renta 20x3'!G:G,'2516 20x3'!A404,'Sumaria renta 20x3'!E:E)</f>
        <v>0</v>
      </c>
    </row>
    <row r="405" spans="1:12" ht="26.25" customHeight="1" outlineLevel="1" x14ac:dyDescent="0.2">
      <c r="A405" s="884">
        <v>389</v>
      </c>
      <c r="B405" s="881"/>
      <c r="C405" s="1529"/>
      <c r="D405" s="1531" t="s">
        <v>1723</v>
      </c>
      <c r="E405" s="1532"/>
      <c r="F405" s="1532"/>
      <c r="G405" s="1533"/>
      <c r="H405" s="1120">
        <f>+SUMIF('Sumaria renta 20x3'!G:G,'2516 20x3'!A405,'Sumaria renta 20x3'!C:C)</f>
        <v>0</v>
      </c>
      <c r="I405" s="1118"/>
      <c r="J405" s="842">
        <f t="shared" si="137"/>
        <v>0</v>
      </c>
      <c r="K405" s="842">
        <f t="shared" si="138"/>
        <v>0</v>
      </c>
      <c r="L405" s="842">
        <f>+SUMIF('Sumaria renta 20x3'!G:G,'2516 20x3'!A405,'Sumaria renta 20x3'!E:E)</f>
        <v>0</v>
      </c>
    </row>
    <row r="406" spans="1:12" ht="24.75" customHeight="1" outlineLevel="1" x14ac:dyDescent="0.2">
      <c r="A406" s="884">
        <v>390</v>
      </c>
      <c r="B406" s="881"/>
      <c r="D406" s="1531" t="s">
        <v>1728</v>
      </c>
      <c r="E406" s="1532"/>
      <c r="F406" s="1532"/>
      <c r="G406" s="1533"/>
      <c r="H406" s="1120">
        <f>+SUMIF('Sumaria renta 20x3'!G:G,'2516 20x3'!A406,'Sumaria renta 20x3'!C:C)</f>
        <v>0</v>
      </c>
      <c r="I406" s="1118"/>
      <c r="J406" s="842">
        <f t="shared" si="137"/>
        <v>0</v>
      </c>
      <c r="K406" s="842">
        <f t="shared" si="138"/>
        <v>0</v>
      </c>
      <c r="L406" s="842">
        <f>+SUMIF('Sumaria renta 20x3'!G:G,'2516 20x3'!A406,'Sumaria renta 20x3'!E:E)</f>
        <v>0</v>
      </c>
    </row>
    <row r="407" spans="1:12" outlineLevel="1" x14ac:dyDescent="0.2">
      <c r="A407" s="884">
        <v>391</v>
      </c>
      <c r="B407" s="881"/>
      <c r="C407" s="1528" t="s">
        <v>1729</v>
      </c>
      <c r="D407" s="1531" t="s">
        <v>1725</v>
      </c>
      <c r="E407" s="1532"/>
      <c r="F407" s="1532"/>
      <c r="G407" s="1533"/>
      <c r="H407" s="1120">
        <f>+SUMIF('Sumaria renta 20x3'!G:G,'2516 20x3'!A407,'Sumaria renta 20x3'!C:C)</f>
        <v>0</v>
      </c>
      <c r="I407" s="1118"/>
      <c r="J407" s="842">
        <f t="shared" si="137"/>
        <v>0</v>
      </c>
      <c r="K407" s="842">
        <f t="shared" si="138"/>
        <v>0</v>
      </c>
      <c r="L407" s="842">
        <f>+SUMIF('Sumaria renta 20x3'!G:G,'2516 20x3'!A407,'Sumaria renta 20x3'!E:E)</f>
        <v>0</v>
      </c>
    </row>
    <row r="408" spans="1:12" ht="26.25" customHeight="1" outlineLevel="1" x14ac:dyDescent="0.2">
      <c r="A408" s="884">
        <v>392</v>
      </c>
      <c r="B408" s="881"/>
      <c r="C408" s="1529"/>
      <c r="D408" s="1531" t="s">
        <v>1723</v>
      </c>
      <c r="E408" s="1532"/>
      <c r="F408" s="1532"/>
      <c r="G408" s="1533"/>
      <c r="H408" s="1120">
        <f>+SUMIF('Sumaria renta 20x3'!G:G,'2516 20x3'!A408,'Sumaria renta 20x3'!C:C)</f>
        <v>0</v>
      </c>
      <c r="I408" s="1118"/>
      <c r="J408" s="842">
        <f t="shared" si="137"/>
        <v>0</v>
      </c>
      <c r="K408" s="842">
        <f t="shared" si="138"/>
        <v>0</v>
      </c>
      <c r="L408" s="842">
        <f>+SUMIF('Sumaria renta 20x3'!G:G,'2516 20x3'!A408,'Sumaria renta 20x3'!E:E)</f>
        <v>0</v>
      </c>
    </row>
    <row r="409" spans="1:12" ht="12.75" customHeight="1" outlineLevel="1" x14ac:dyDescent="0.2">
      <c r="A409" s="884">
        <v>393</v>
      </c>
      <c r="B409" s="881"/>
      <c r="C409" s="1514" t="s">
        <v>1730</v>
      </c>
      <c r="D409" s="1531" t="s">
        <v>143</v>
      </c>
      <c r="E409" s="1532"/>
      <c r="F409" s="1532"/>
      <c r="G409" s="1533"/>
      <c r="H409" s="1120">
        <f>+SUMIF('Sumaria renta 20x3'!G:G,'2516 20x3'!A409,'Sumaria renta 20x3'!C:C)</f>
        <v>0</v>
      </c>
      <c r="I409" s="1118"/>
      <c r="J409" s="842">
        <f t="shared" si="137"/>
        <v>0</v>
      </c>
      <c r="K409" s="842">
        <f t="shared" si="138"/>
        <v>0</v>
      </c>
      <c r="L409" s="842">
        <f>+SUMIF('Sumaria renta 20x3'!G:G,'2516 20x3'!A409,'Sumaria renta 20x3'!E:E)</f>
        <v>0</v>
      </c>
    </row>
    <row r="410" spans="1:12" outlineLevel="1" x14ac:dyDescent="0.2">
      <c r="A410" s="884">
        <v>394</v>
      </c>
      <c r="B410" s="881"/>
      <c r="C410" s="1514"/>
      <c r="D410" s="1531" t="s">
        <v>431</v>
      </c>
      <c r="E410" s="1532"/>
      <c r="F410" s="1532"/>
      <c r="G410" s="1533"/>
      <c r="H410" s="1120">
        <f>+SUMIF('Sumaria renta 20x3'!G:G,'2516 20x3'!A410,'Sumaria renta 20x3'!C:C)</f>
        <v>0</v>
      </c>
      <c r="I410" s="1118"/>
      <c r="J410" s="842">
        <f t="shared" si="137"/>
        <v>0</v>
      </c>
      <c r="K410" s="842">
        <f t="shared" si="138"/>
        <v>0</v>
      </c>
      <c r="L410" s="842">
        <f>+SUMIF('Sumaria renta 20x3'!G:G,'2516 20x3'!A410,'Sumaria renta 20x3'!E:E)</f>
        <v>0</v>
      </c>
    </row>
    <row r="411" spans="1:12" outlineLevel="1" x14ac:dyDescent="0.2">
      <c r="A411" s="884">
        <v>395</v>
      </c>
      <c r="B411" s="881"/>
      <c r="C411" s="1514"/>
      <c r="D411" s="1531" t="s">
        <v>813</v>
      </c>
      <c r="E411" s="1532"/>
      <c r="F411" s="1532"/>
      <c r="G411" s="1533"/>
      <c r="H411" s="1120">
        <f>+SUMIF('Sumaria renta 20x3'!G:G,'2516 20x3'!A411,'Sumaria renta 20x3'!C:C)</f>
        <v>0</v>
      </c>
      <c r="I411" s="1118"/>
      <c r="J411" s="842">
        <f t="shared" si="137"/>
        <v>0</v>
      </c>
      <c r="K411" s="842">
        <f t="shared" si="138"/>
        <v>0</v>
      </c>
      <c r="L411" s="842">
        <f>+SUMIF('Sumaria renta 20x3'!G:G,'2516 20x3'!A411,'Sumaria renta 20x3'!E:E)</f>
        <v>0</v>
      </c>
    </row>
    <row r="412" spans="1:12" ht="24" customHeight="1" outlineLevel="1" x14ac:dyDescent="0.2">
      <c r="A412" s="884">
        <v>396</v>
      </c>
      <c r="B412" s="881"/>
      <c r="C412" s="1514"/>
      <c r="D412" s="1531" t="s">
        <v>1674</v>
      </c>
      <c r="E412" s="1532"/>
      <c r="F412" s="1532"/>
      <c r="G412" s="1533"/>
      <c r="H412" s="1120">
        <f>+SUMIF('Sumaria renta 20x3'!G:G,'2516 20x3'!A412,'Sumaria renta 20x3'!C:C)</f>
        <v>0</v>
      </c>
      <c r="I412" s="1118"/>
      <c r="J412" s="842">
        <f t="shared" si="137"/>
        <v>0</v>
      </c>
      <c r="K412" s="842">
        <f t="shared" si="138"/>
        <v>0</v>
      </c>
      <c r="L412" s="842">
        <f>+SUMIF('Sumaria renta 20x3'!G:G,'2516 20x3'!A412,'Sumaria renta 20x3'!E:E)</f>
        <v>0</v>
      </c>
    </row>
    <row r="413" spans="1:12" ht="24.75" customHeight="1" outlineLevel="1" x14ac:dyDescent="0.2">
      <c r="A413" s="884">
        <v>397</v>
      </c>
      <c r="B413" s="881"/>
      <c r="C413" s="1514"/>
      <c r="D413" s="1531" t="s">
        <v>1675</v>
      </c>
      <c r="E413" s="1532"/>
      <c r="F413" s="1532"/>
      <c r="G413" s="1533"/>
      <c r="H413" s="1120">
        <f>+SUMIF('Sumaria renta 20x3'!G:G,'2516 20x3'!A413,'Sumaria renta 20x3'!C:C)</f>
        <v>0</v>
      </c>
      <c r="I413" s="1118"/>
      <c r="J413" s="842">
        <f t="shared" si="137"/>
        <v>0</v>
      </c>
      <c r="K413" s="842">
        <f t="shared" si="138"/>
        <v>0</v>
      </c>
      <c r="L413" s="842">
        <f>+SUMIF('Sumaria renta 20x3'!G:G,'2516 20x3'!A413,'Sumaria renta 20x3'!E:E)</f>
        <v>0</v>
      </c>
    </row>
    <row r="414" spans="1:12" ht="24" customHeight="1" outlineLevel="1" x14ac:dyDescent="0.2">
      <c r="A414" s="884">
        <v>398</v>
      </c>
      <c r="B414" s="881"/>
      <c r="C414" s="1514"/>
      <c r="D414" s="1531" t="s">
        <v>1731</v>
      </c>
      <c r="E414" s="1532"/>
      <c r="F414" s="1532"/>
      <c r="G414" s="1533"/>
      <c r="H414" s="1120">
        <f>+SUMIF('Sumaria renta 20x3'!G:G,'2516 20x3'!A414,'Sumaria renta 20x3'!C:C)</f>
        <v>0</v>
      </c>
      <c r="I414" s="1118"/>
      <c r="J414" s="842">
        <f t="shared" si="137"/>
        <v>0</v>
      </c>
      <c r="K414" s="842">
        <f t="shared" si="138"/>
        <v>0</v>
      </c>
      <c r="L414" s="842">
        <f>+SUMIF('Sumaria renta 20x3'!G:G,'2516 20x3'!A414,'Sumaria renta 20x3'!E:E)</f>
        <v>0</v>
      </c>
    </row>
    <row r="415" spans="1:12" outlineLevel="1" x14ac:dyDescent="0.2">
      <c r="A415" s="884">
        <v>399</v>
      </c>
      <c r="B415" s="881"/>
      <c r="C415" s="1514"/>
      <c r="D415" s="1531" t="s">
        <v>1676</v>
      </c>
      <c r="E415" s="1532"/>
      <c r="F415" s="1532"/>
      <c r="G415" s="1533"/>
      <c r="H415" s="1120">
        <f>+SUMIF('Sumaria renta 20x3'!G:G,'2516 20x3'!A415,'Sumaria renta 20x3'!C:C)</f>
        <v>0</v>
      </c>
      <c r="I415" s="1118"/>
      <c r="J415" s="842">
        <f t="shared" si="137"/>
        <v>0</v>
      </c>
      <c r="K415" s="842">
        <f t="shared" si="138"/>
        <v>0</v>
      </c>
      <c r="L415" s="842">
        <f>+SUMIF('Sumaria renta 20x3'!G:G,'2516 20x3'!A415,'Sumaria renta 20x3'!E:E)</f>
        <v>0</v>
      </c>
    </row>
    <row r="416" spans="1:12" outlineLevel="1" x14ac:dyDescent="0.2">
      <c r="A416" s="884">
        <v>400</v>
      </c>
      <c r="B416" s="881"/>
      <c r="C416" s="1514"/>
      <c r="D416" s="1531" t="s">
        <v>1732</v>
      </c>
      <c r="E416" s="1532"/>
      <c r="F416" s="1532"/>
      <c r="G416" s="1533"/>
      <c r="H416" s="1120">
        <f>+SUMIF('Sumaria renta 20x3'!G:G,'2516 20x3'!A416,'Sumaria renta 20x3'!C:C)</f>
        <v>0</v>
      </c>
      <c r="I416" s="1118"/>
      <c r="J416" s="842">
        <f t="shared" si="137"/>
        <v>0</v>
      </c>
      <c r="K416" s="842">
        <f t="shared" si="138"/>
        <v>0</v>
      </c>
      <c r="L416" s="842">
        <f>+SUMIF('Sumaria renta 20x3'!G:G,'2516 20x3'!A416,'Sumaria renta 20x3'!E:E)</f>
        <v>0</v>
      </c>
    </row>
    <row r="417" spans="1:12" ht="26.25" customHeight="1" outlineLevel="1" x14ac:dyDescent="0.2">
      <c r="A417" s="884">
        <v>401</v>
      </c>
      <c r="B417" s="881"/>
      <c r="C417" s="1514"/>
      <c r="D417" s="1531" t="s">
        <v>1678</v>
      </c>
      <c r="E417" s="1532"/>
      <c r="F417" s="1532"/>
      <c r="G417" s="1533"/>
      <c r="H417" s="1120">
        <f>+SUMIF('Sumaria renta 20x3'!G:G,'2516 20x3'!A417,'Sumaria renta 20x3'!C:C)</f>
        <v>0</v>
      </c>
      <c r="I417" s="1118"/>
      <c r="J417" s="842">
        <f t="shared" si="137"/>
        <v>0</v>
      </c>
      <c r="K417" s="842">
        <f t="shared" si="138"/>
        <v>0</v>
      </c>
      <c r="L417" s="842">
        <f>+SUMIF('Sumaria renta 20x3'!G:G,'2516 20x3'!A417,'Sumaria renta 20x3'!E:E)</f>
        <v>0</v>
      </c>
    </row>
    <row r="418" spans="1:12" outlineLevel="1" x14ac:dyDescent="0.2">
      <c r="A418" s="884">
        <v>402</v>
      </c>
      <c r="B418" s="881"/>
      <c r="C418" s="1514"/>
      <c r="D418" s="1531" t="s">
        <v>1679</v>
      </c>
      <c r="E418" s="1532"/>
      <c r="F418" s="1532"/>
      <c r="G418" s="1533"/>
      <c r="H418" s="1120">
        <f>+SUMIF('Sumaria renta 20x3'!G:G,'2516 20x3'!A418,'Sumaria renta 20x3'!C:C)</f>
        <v>0</v>
      </c>
      <c r="I418" s="1118"/>
      <c r="J418" s="842">
        <f t="shared" si="137"/>
        <v>0</v>
      </c>
      <c r="K418" s="842">
        <f t="shared" si="138"/>
        <v>0</v>
      </c>
      <c r="L418" s="842">
        <f>+SUMIF('Sumaria renta 20x3'!G:G,'2516 20x3'!A418,'Sumaria renta 20x3'!E:E)</f>
        <v>0</v>
      </c>
    </row>
    <row r="419" spans="1:12" ht="26.25" customHeight="1" outlineLevel="1" x14ac:dyDescent="0.2">
      <c r="A419" s="884">
        <v>403</v>
      </c>
      <c r="B419" s="881"/>
      <c r="C419" s="1514"/>
      <c r="D419" s="1531" t="s">
        <v>1733</v>
      </c>
      <c r="E419" s="1532"/>
      <c r="F419" s="1532"/>
      <c r="G419" s="1533"/>
      <c r="H419" s="1120">
        <f>+SUMIF('Sumaria renta 20x3'!G:G,'2516 20x3'!A419,'Sumaria renta 20x3'!C:C)</f>
        <v>0</v>
      </c>
      <c r="I419" s="1118"/>
      <c r="J419" s="842">
        <f t="shared" si="137"/>
        <v>0</v>
      </c>
      <c r="K419" s="842">
        <f t="shared" si="138"/>
        <v>0</v>
      </c>
      <c r="L419" s="842">
        <f>+SUMIF('Sumaria renta 20x3'!G:G,'2516 20x3'!A419,'Sumaria renta 20x3'!E:E)</f>
        <v>0</v>
      </c>
    </row>
    <row r="420" spans="1:12" ht="26.25" customHeight="1" outlineLevel="1" x14ac:dyDescent="0.2">
      <c r="A420" s="884">
        <v>404</v>
      </c>
      <c r="B420" s="881"/>
      <c r="C420" s="1514"/>
      <c r="D420" s="1531" t="s">
        <v>1734</v>
      </c>
      <c r="E420" s="1532"/>
      <c r="F420" s="1532"/>
      <c r="G420" s="1533"/>
      <c r="H420" s="1120">
        <f>+SUMIF('Sumaria renta 20x3'!G:G,'2516 20x3'!A420,'Sumaria renta 20x3'!C:C)</f>
        <v>0</v>
      </c>
      <c r="I420" s="1118"/>
      <c r="J420" s="842">
        <f t="shared" si="137"/>
        <v>0</v>
      </c>
      <c r="K420" s="842">
        <f t="shared" si="138"/>
        <v>0</v>
      </c>
      <c r="L420" s="842">
        <f>+SUMIF('Sumaria renta 20x3'!G:G,'2516 20x3'!A420,'Sumaria renta 20x3'!E:E)</f>
        <v>0</v>
      </c>
    </row>
    <row r="421" spans="1:12" ht="12.75" customHeight="1" outlineLevel="1" x14ac:dyDescent="0.2">
      <c r="A421" s="884">
        <v>405</v>
      </c>
      <c r="B421" s="881"/>
      <c r="D421" s="1531" t="s">
        <v>1681</v>
      </c>
      <c r="E421" s="1532"/>
      <c r="F421" s="1532"/>
      <c r="G421" s="1533"/>
      <c r="H421" s="1120">
        <f>+SUMIF('Sumaria renta 20x3'!G:G,'2516 20x3'!A421,'Sumaria renta 20x3'!C:C)</f>
        <v>0</v>
      </c>
      <c r="I421" s="1118"/>
      <c r="J421" s="842">
        <f t="shared" ref="J421" si="139">+IF((H421&gt;L421),(H421-L421),0)</f>
        <v>0</v>
      </c>
      <c r="K421" s="842">
        <f t="shared" ref="K421" si="140">+IF((H421&lt;L421),(L421-H421),0)</f>
        <v>0</v>
      </c>
      <c r="L421" s="842">
        <f>+SUMIF('Sumaria renta 20x3'!G:G,'2516 20x3'!A421,'Sumaria renta 20x3'!E:E)</f>
        <v>0</v>
      </c>
    </row>
    <row r="422" spans="1:12" outlineLevel="1" x14ac:dyDescent="0.2">
      <c r="A422" s="880">
        <v>406</v>
      </c>
      <c r="B422" s="881"/>
      <c r="D422" s="1534" t="s">
        <v>1735</v>
      </c>
      <c r="E422" s="1535"/>
      <c r="F422" s="1535"/>
      <c r="G422" s="1536"/>
      <c r="H422" s="890">
        <f>+SUM(H423:H434)</f>
        <v>0</v>
      </c>
      <c r="I422" s="890">
        <f t="shared" ref="I422:L422" si="141">+SUM(I423:I434)</f>
        <v>0</v>
      </c>
      <c r="J422" s="890">
        <f t="shared" si="141"/>
        <v>0</v>
      </c>
      <c r="K422" s="890">
        <f t="shared" si="141"/>
        <v>0</v>
      </c>
      <c r="L422" s="890">
        <f t="shared" si="141"/>
        <v>0</v>
      </c>
    </row>
    <row r="423" spans="1:12" outlineLevel="1" x14ac:dyDescent="0.2">
      <c r="A423" s="884">
        <v>407</v>
      </c>
      <c r="B423" s="881"/>
      <c r="D423" s="1531" t="s">
        <v>79</v>
      </c>
      <c r="E423" s="1532"/>
      <c r="F423" s="1532"/>
      <c r="G423" s="1533"/>
      <c r="H423" s="1120">
        <f>+SUMIF('Sumaria renta 20x3'!G:G,'2516 20x3'!A423,'Sumaria renta 20x3'!C:C)</f>
        <v>0</v>
      </c>
      <c r="I423" s="1118"/>
      <c r="J423" s="842">
        <f t="shared" ref="J423:J433" si="142">+IF((H423&gt;L423),(H423-L423),0)</f>
        <v>0</v>
      </c>
      <c r="K423" s="842">
        <f t="shared" ref="K423:K433" si="143">+IF((H423&lt;L423),(L423-H423),0)</f>
        <v>0</v>
      </c>
      <c r="L423" s="842">
        <f>+SUMIF('Sumaria renta 20x3'!G:G,'2516 20x3'!A423,'Sumaria renta 20x3'!E:E)</f>
        <v>0</v>
      </c>
    </row>
    <row r="424" spans="1:12" outlineLevel="1" x14ac:dyDescent="0.2">
      <c r="A424" s="884">
        <v>408</v>
      </c>
      <c r="B424" s="881"/>
      <c r="D424" s="1531" t="s">
        <v>710</v>
      </c>
      <c r="E424" s="1532"/>
      <c r="F424" s="1532"/>
      <c r="G424" s="1533"/>
      <c r="H424" s="1120">
        <f>+SUMIF('Sumaria renta 20x3'!G:G,'2516 20x3'!A424,'Sumaria renta 20x3'!C:C)</f>
        <v>0</v>
      </c>
      <c r="I424" s="1118"/>
      <c r="J424" s="842">
        <f t="shared" si="142"/>
        <v>0</v>
      </c>
      <c r="K424" s="842">
        <f t="shared" si="143"/>
        <v>0</v>
      </c>
      <c r="L424" s="842">
        <f>+SUMIF('Sumaria renta 20x3'!G:G,'2516 20x3'!A424,'Sumaria renta 20x3'!E:E)</f>
        <v>0</v>
      </c>
    </row>
    <row r="425" spans="1:12" outlineLevel="1" x14ac:dyDescent="0.2">
      <c r="A425" s="884">
        <v>409</v>
      </c>
      <c r="B425" s="881"/>
      <c r="D425" s="1531" t="s">
        <v>711</v>
      </c>
      <c r="E425" s="1532"/>
      <c r="F425" s="1532"/>
      <c r="G425" s="1533"/>
      <c r="H425" s="1120">
        <f>+SUMIF('Sumaria renta 20x3'!G:G,'2516 20x3'!A425,'Sumaria renta 20x3'!C:C)</f>
        <v>0</v>
      </c>
      <c r="I425" s="1118"/>
      <c r="J425" s="842">
        <f t="shared" si="142"/>
        <v>0</v>
      </c>
      <c r="K425" s="842">
        <f t="shared" si="143"/>
        <v>0</v>
      </c>
      <c r="L425" s="842">
        <f>+SUMIF('Sumaria renta 20x3'!G:G,'2516 20x3'!A425,'Sumaria renta 20x3'!E:E)</f>
        <v>0</v>
      </c>
    </row>
    <row r="426" spans="1:12" outlineLevel="1" x14ac:dyDescent="0.2">
      <c r="A426" s="884">
        <v>410</v>
      </c>
      <c r="B426" s="881"/>
      <c r="D426" s="1531" t="s">
        <v>707</v>
      </c>
      <c r="E426" s="1532"/>
      <c r="F426" s="1532"/>
      <c r="G426" s="1533"/>
      <c r="H426" s="1120">
        <f>+SUMIF('Sumaria renta 20x3'!G:G,'2516 20x3'!A426,'Sumaria renta 20x3'!C:C)</f>
        <v>0</v>
      </c>
      <c r="I426" s="1118"/>
      <c r="J426" s="842">
        <f t="shared" si="142"/>
        <v>0</v>
      </c>
      <c r="K426" s="842">
        <f t="shared" si="143"/>
        <v>0</v>
      </c>
      <c r="L426" s="842">
        <f>+SUMIF('Sumaria renta 20x3'!G:G,'2516 20x3'!A426,'Sumaria renta 20x3'!E:E)</f>
        <v>0</v>
      </c>
    </row>
    <row r="427" spans="1:12" ht="12.75" customHeight="1" outlineLevel="1" x14ac:dyDescent="0.2">
      <c r="A427" s="884">
        <v>411</v>
      </c>
      <c r="B427" s="881"/>
      <c r="C427" s="1514" t="s">
        <v>1736</v>
      </c>
      <c r="D427" s="1531" t="s">
        <v>1737</v>
      </c>
      <c r="E427" s="1532"/>
      <c r="F427" s="1532"/>
      <c r="G427" s="1533"/>
      <c r="H427" s="1120">
        <f>+SUMIF('Sumaria renta 20x3'!G:G,'2516 20x3'!A427,'Sumaria renta 20x3'!C:C)</f>
        <v>0</v>
      </c>
      <c r="I427" s="1118"/>
      <c r="J427" s="842">
        <f t="shared" si="142"/>
        <v>0</v>
      </c>
      <c r="K427" s="842">
        <f t="shared" si="143"/>
        <v>0</v>
      </c>
      <c r="L427" s="842">
        <f>+SUMIF('Sumaria renta 20x3'!G:G,'2516 20x3'!A427,'Sumaria renta 20x3'!E:E)</f>
        <v>0</v>
      </c>
    </row>
    <row r="428" spans="1:12" ht="23.25" customHeight="1" outlineLevel="1" x14ac:dyDescent="0.2">
      <c r="A428" s="884">
        <v>412</v>
      </c>
      <c r="B428" s="881"/>
      <c r="C428" s="1514"/>
      <c r="D428" s="1531" t="s">
        <v>1638</v>
      </c>
      <c r="E428" s="1532"/>
      <c r="F428" s="1532"/>
      <c r="G428" s="1533"/>
      <c r="H428" s="1120">
        <f>+SUMIF('Sumaria renta 20x3'!G:G,'2516 20x3'!A428,'Sumaria renta 20x3'!C:C)</f>
        <v>0</v>
      </c>
      <c r="I428" s="1118"/>
      <c r="J428" s="842">
        <f t="shared" si="142"/>
        <v>0</v>
      </c>
      <c r="K428" s="842">
        <f t="shared" si="143"/>
        <v>0</v>
      </c>
      <c r="L428" s="842">
        <f>+SUMIF('Sumaria renta 20x3'!G:G,'2516 20x3'!A428,'Sumaria renta 20x3'!E:E)</f>
        <v>0</v>
      </c>
    </row>
    <row r="429" spans="1:12" outlineLevel="1" x14ac:dyDescent="0.2">
      <c r="A429" s="884">
        <v>413</v>
      </c>
      <c r="B429" s="881"/>
      <c r="C429" s="1514"/>
      <c r="D429" s="1531" t="s">
        <v>1738</v>
      </c>
      <c r="E429" s="1532"/>
      <c r="F429" s="1532"/>
      <c r="G429" s="1533"/>
      <c r="H429" s="1120">
        <f>+SUMIF('Sumaria renta 20x3'!G:G,'2516 20x3'!A429,'Sumaria renta 20x3'!C:C)</f>
        <v>0</v>
      </c>
      <c r="I429" s="1118"/>
      <c r="J429" s="842">
        <f t="shared" si="142"/>
        <v>0</v>
      </c>
      <c r="K429" s="842">
        <f t="shared" si="143"/>
        <v>0</v>
      </c>
      <c r="L429" s="842">
        <f>+SUMIF('Sumaria renta 20x3'!G:G,'2516 20x3'!A429,'Sumaria renta 20x3'!E:E)</f>
        <v>0</v>
      </c>
    </row>
    <row r="430" spans="1:12" outlineLevel="1" x14ac:dyDescent="0.2">
      <c r="A430" s="884">
        <v>414</v>
      </c>
      <c r="B430" s="881"/>
      <c r="C430" s="1514" t="s">
        <v>1739</v>
      </c>
      <c r="D430" s="1531" t="s">
        <v>1737</v>
      </c>
      <c r="E430" s="1532"/>
      <c r="F430" s="1532"/>
      <c r="G430" s="1533"/>
      <c r="H430" s="1120">
        <f>+SUMIF('Sumaria renta 20x3'!G:G,'2516 20x3'!A430,'Sumaria renta 20x3'!C:C)</f>
        <v>0</v>
      </c>
      <c r="I430" s="1118"/>
      <c r="J430" s="842">
        <f t="shared" si="142"/>
        <v>0</v>
      </c>
      <c r="K430" s="842">
        <f t="shared" si="143"/>
        <v>0</v>
      </c>
      <c r="L430" s="842">
        <f>+SUMIF('Sumaria renta 20x3'!G:G,'2516 20x3'!A430,'Sumaria renta 20x3'!E:E)</f>
        <v>0</v>
      </c>
    </row>
    <row r="431" spans="1:12" ht="24.75" customHeight="1" outlineLevel="1" x14ac:dyDescent="0.2">
      <c r="A431" s="884">
        <v>415</v>
      </c>
      <c r="B431" s="881"/>
      <c r="C431" s="1514"/>
      <c r="D431" s="1531" t="s">
        <v>1638</v>
      </c>
      <c r="E431" s="1532"/>
      <c r="F431" s="1532"/>
      <c r="G431" s="1533"/>
      <c r="H431" s="1120">
        <f>+SUMIF('Sumaria renta 20x3'!G:G,'2516 20x3'!A431,'Sumaria renta 20x3'!C:C)</f>
        <v>0</v>
      </c>
      <c r="I431" s="1118"/>
      <c r="J431" s="842">
        <f t="shared" si="142"/>
        <v>0</v>
      </c>
      <c r="K431" s="842">
        <f t="shared" si="143"/>
        <v>0</v>
      </c>
      <c r="L431" s="842">
        <f>+SUMIF('Sumaria renta 20x3'!G:G,'2516 20x3'!A431,'Sumaria renta 20x3'!E:E)</f>
        <v>0</v>
      </c>
    </row>
    <row r="432" spans="1:12" outlineLevel="1" x14ac:dyDescent="0.2">
      <c r="A432" s="884">
        <v>416</v>
      </c>
      <c r="B432" s="881"/>
      <c r="C432" s="1514"/>
      <c r="D432" s="1531" t="s">
        <v>1738</v>
      </c>
      <c r="E432" s="1532"/>
      <c r="F432" s="1532"/>
      <c r="G432" s="1533"/>
      <c r="H432" s="1120">
        <f>+SUMIF('Sumaria renta 20x3'!G:G,'2516 20x3'!A432,'Sumaria renta 20x3'!C:C)</f>
        <v>0</v>
      </c>
      <c r="I432" s="1118"/>
      <c r="J432" s="842">
        <f t="shared" si="142"/>
        <v>0</v>
      </c>
      <c r="K432" s="842">
        <f t="shared" si="143"/>
        <v>0</v>
      </c>
      <c r="L432" s="842">
        <f>+SUMIF('Sumaria renta 20x3'!G:G,'2516 20x3'!A432,'Sumaria renta 20x3'!E:E)</f>
        <v>0</v>
      </c>
    </row>
    <row r="433" spans="1:13" ht="25.5" customHeight="1" outlineLevel="1" x14ac:dyDescent="0.2">
      <c r="A433" s="884">
        <v>417</v>
      </c>
      <c r="B433" s="881"/>
      <c r="D433" s="1531" t="s">
        <v>1740</v>
      </c>
      <c r="E433" s="1532"/>
      <c r="F433" s="1532"/>
      <c r="G433" s="1533"/>
      <c r="H433" s="1120">
        <f>+SUMIF('Sumaria renta 20x3'!G:G,'2516 20x3'!A433,'Sumaria renta 20x3'!C:C)</f>
        <v>0</v>
      </c>
      <c r="I433" s="1118"/>
      <c r="J433" s="842">
        <f t="shared" si="142"/>
        <v>0</v>
      </c>
      <c r="K433" s="842">
        <f t="shared" si="143"/>
        <v>0</v>
      </c>
      <c r="L433" s="842">
        <f>+SUMIF('Sumaria renta 20x3'!G:G,'2516 20x3'!A433,'Sumaria renta 20x3'!E:E)</f>
        <v>0</v>
      </c>
    </row>
    <row r="434" spans="1:13" outlineLevel="1" x14ac:dyDescent="0.2">
      <c r="A434" s="884">
        <v>418</v>
      </c>
      <c r="B434" s="881"/>
      <c r="D434" s="1531" t="s">
        <v>1741</v>
      </c>
      <c r="E434" s="1532"/>
      <c r="F434" s="1532"/>
      <c r="G434" s="1533"/>
      <c r="H434" s="1120">
        <f>+SUMIF('Sumaria renta 20x3'!G:G,'2516 20x3'!A434,'Sumaria renta 20x3'!C:C)</f>
        <v>0</v>
      </c>
      <c r="I434" s="1118"/>
      <c r="J434" s="842">
        <f t="shared" ref="J434" si="144">+IF((H434&gt;L434),(H434-L434),0)</f>
        <v>0</v>
      </c>
      <c r="K434" s="842">
        <f t="shared" ref="K434" si="145">+IF((H434&lt;L434),(L434-H434),0)</f>
        <v>0</v>
      </c>
      <c r="L434" s="842">
        <f>+SUMIF('Sumaria renta 20x3'!G:G,'2516 20x3'!A434,'Sumaria renta 20x3'!E:E)</f>
        <v>0</v>
      </c>
    </row>
    <row r="435" spans="1:13" outlineLevel="1" x14ac:dyDescent="0.2">
      <c r="A435" s="884">
        <v>419</v>
      </c>
      <c r="B435" s="881"/>
      <c r="D435" s="1534" t="s">
        <v>1742</v>
      </c>
      <c r="E435" s="1535"/>
      <c r="F435" s="1535"/>
      <c r="G435" s="1536"/>
      <c r="H435" s="842"/>
      <c r="I435" s="845"/>
      <c r="J435" s="842"/>
      <c r="K435" s="842">
        <v>0</v>
      </c>
      <c r="L435" s="885">
        <v>0</v>
      </c>
    </row>
    <row r="436" spans="1:13" outlineLevel="1" x14ac:dyDescent="0.2">
      <c r="A436" s="880">
        <v>420</v>
      </c>
      <c r="B436" s="881"/>
      <c r="D436" s="1534" t="s">
        <v>1743</v>
      </c>
      <c r="E436" s="1535"/>
      <c r="F436" s="1535"/>
      <c r="G436" s="1536"/>
      <c r="H436" s="891">
        <f>+H435+H434+H422+H397+H392+H375</f>
        <v>0</v>
      </c>
      <c r="I436" s="891">
        <f t="shared" ref="I436:L436" si="146">+I435+I434+I422+I397+I392+I375</f>
        <v>0</v>
      </c>
      <c r="J436" s="891">
        <f t="shared" si="146"/>
        <v>0</v>
      </c>
      <c r="K436" s="891">
        <f t="shared" si="146"/>
        <v>0</v>
      </c>
      <c r="L436" s="891">
        <f t="shared" si="146"/>
        <v>0</v>
      </c>
      <c r="M436" s="1161">
        <f>+L436-'110 Renta 20x3'!Q50</f>
        <v>0</v>
      </c>
    </row>
    <row r="437" spans="1:13" outlineLevel="1" x14ac:dyDescent="0.2">
      <c r="A437" s="880">
        <v>421</v>
      </c>
      <c r="B437" s="881"/>
      <c r="D437" s="1560" t="s">
        <v>1744</v>
      </c>
      <c r="E437" s="1561"/>
      <c r="F437" s="1561"/>
      <c r="G437" s="1562"/>
      <c r="H437" s="892"/>
      <c r="I437" s="892"/>
      <c r="J437" s="892"/>
      <c r="K437" s="892"/>
      <c r="L437" s="893"/>
    </row>
    <row r="438" spans="1:13" outlineLevel="1" x14ac:dyDescent="0.2">
      <c r="A438" s="880">
        <v>422</v>
      </c>
      <c r="B438" s="881"/>
      <c r="D438" s="1534" t="s">
        <v>1745</v>
      </c>
      <c r="E438" s="1535"/>
      <c r="F438" s="1535"/>
      <c r="G438" s="1536"/>
      <c r="H438" s="1136">
        <f>+H439+H444+H465</f>
        <v>0</v>
      </c>
      <c r="I438" s="1136">
        <f>+I439+I444+I465</f>
        <v>0</v>
      </c>
      <c r="J438" s="1136">
        <f t="shared" ref="J438:L438" si="147">+J439+J444+J465</f>
        <v>0</v>
      </c>
      <c r="K438" s="1136">
        <f t="shared" si="147"/>
        <v>0</v>
      </c>
      <c r="L438" s="1136">
        <f t="shared" si="147"/>
        <v>0</v>
      </c>
      <c r="M438" s="1161">
        <f>+L438-'110 Renta 20x3'!Q51</f>
        <v>0</v>
      </c>
    </row>
    <row r="439" spans="1:13" outlineLevel="1" x14ac:dyDescent="0.2">
      <c r="A439" s="880">
        <v>422</v>
      </c>
      <c r="B439" s="881"/>
      <c r="D439" s="1534" t="s">
        <v>1716</v>
      </c>
      <c r="E439" s="1535"/>
      <c r="F439" s="1535"/>
      <c r="G439" s="1536"/>
      <c r="H439" s="1136">
        <f>SUM(H440:H443)</f>
        <v>0</v>
      </c>
      <c r="I439" s="1136">
        <f t="shared" ref="I439:L439" si="148">SUM(I440:I443)</f>
        <v>0</v>
      </c>
      <c r="J439" s="1136">
        <f t="shared" si="148"/>
        <v>0</v>
      </c>
      <c r="K439" s="1136">
        <f t="shared" si="148"/>
        <v>0</v>
      </c>
      <c r="L439" s="1136">
        <f t="shared" si="148"/>
        <v>0</v>
      </c>
    </row>
    <row r="440" spans="1:13" ht="25.5" customHeight="1" outlineLevel="1" x14ac:dyDescent="0.2">
      <c r="A440" s="884">
        <v>423</v>
      </c>
      <c r="B440" s="881"/>
      <c r="C440" s="1528" t="s">
        <v>1717</v>
      </c>
      <c r="D440" s="1531" t="s">
        <v>1546</v>
      </c>
      <c r="E440" s="1532"/>
      <c r="F440" s="1532"/>
      <c r="G440" s="1533"/>
      <c r="H440" s="1120">
        <f>+SUMIF('Sumaria renta 20x3'!G:G,'2516 20x3'!A440,'Sumaria renta 20x3'!C:C)</f>
        <v>0</v>
      </c>
      <c r="I440" s="1118"/>
      <c r="J440" s="842">
        <f t="shared" ref="J440:J443" si="149">+IF((H440&gt;L440),(H440-L440),0)</f>
        <v>0</v>
      </c>
      <c r="K440" s="842">
        <f t="shared" ref="K440:K443" si="150">+IF((H440&lt;L440),(L440-H440),0)</f>
        <v>0</v>
      </c>
      <c r="L440" s="842">
        <f>+SUMIF('Sumaria renta 20x3'!G:G,'2516 20x3'!A440,'Sumaria renta 20x3'!E:E)</f>
        <v>0</v>
      </c>
    </row>
    <row r="441" spans="1:13" outlineLevel="1" x14ac:dyDescent="0.2">
      <c r="A441" s="884">
        <v>424</v>
      </c>
      <c r="B441" s="881"/>
      <c r="C441" s="1530"/>
      <c r="D441" s="1531" t="s">
        <v>1547</v>
      </c>
      <c r="E441" s="1532"/>
      <c r="F441" s="1532"/>
      <c r="G441" s="1533"/>
      <c r="H441" s="1120">
        <f>+SUMIF('Sumaria renta 20x3'!G:G,'2516 20x3'!A441,'Sumaria renta 20x3'!C:C)</f>
        <v>0</v>
      </c>
      <c r="I441" s="1118"/>
      <c r="J441" s="842">
        <f t="shared" si="149"/>
        <v>0</v>
      </c>
      <c r="K441" s="842">
        <f t="shared" si="150"/>
        <v>0</v>
      </c>
      <c r="L441" s="842">
        <f>+SUMIF('Sumaria renta 20x3'!G:G,'2516 20x3'!A441,'Sumaria renta 20x3'!E:E)</f>
        <v>0</v>
      </c>
    </row>
    <row r="442" spans="1:13" outlineLevel="1" x14ac:dyDescent="0.2">
      <c r="A442" s="884">
        <v>425</v>
      </c>
      <c r="B442" s="881"/>
      <c r="C442" s="1530"/>
      <c r="D442" s="1531" t="s">
        <v>1718</v>
      </c>
      <c r="E442" s="1532"/>
      <c r="F442" s="1532"/>
      <c r="G442" s="1533"/>
      <c r="H442" s="1120">
        <f>+SUMIF('Sumaria renta 20x3'!G:G,'2516 20x3'!A442,'Sumaria renta 20x3'!C:C)</f>
        <v>0</v>
      </c>
      <c r="I442" s="1118"/>
      <c r="J442" s="842">
        <f t="shared" si="149"/>
        <v>0</v>
      </c>
      <c r="K442" s="842">
        <f t="shared" si="150"/>
        <v>0</v>
      </c>
      <c r="L442" s="842">
        <f>+SUMIF('Sumaria renta 20x3'!G:G,'2516 20x3'!A442,'Sumaria renta 20x3'!E:E)</f>
        <v>0</v>
      </c>
    </row>
    <row r="443" spans="1:13" outlineLevel="1" x14ac:dyDescent="0.2">
      <c r="A443" s="884">
        <v>426</v>
      </c>
      <c r="B443" s="881"/>
      <c r="C443" s="1529"/>
      <c r="D443" s="1531" t="s">
        <v>1719</v>
      </c>
      <c r="E443" s="1532"/>
      <c r="F443" s="1532"/>
      <c r="G443" s="1533"/>
      <c r="H443" s="1120">
        <f>+SUMIF('Sumaria renta 20x3'!G:G,'2516 20x3'!A443,'Sumaria renta 20x3'!C:C)</f>
        <v>0</v>
      </c>
      <c r="I443" s="1118"/>
      <c r="J443" s="842">
        <f t="shared" si="149"/>
        <v>0</v>
      </c>
      <c r="K443" s="842">
        <f t="shared" si="150"/>
        <v>0</v>
      </c>
      <c r="L443" s="842">
        <f>+SUMIF('Sumaria renta 20x3'!G:G,'2516 20x3'!A443,'Sumaria renta 20x3'!E:E)</f>
        <v>0</v>
      </c>
    </row>
    <row r="444" spans="1:13" outlineLevel="1" x14ac:dyDescent="0.2">
      <c r="A444" s="880">
        <v>427</v>
      </c>
      <c r="B444" s="881"/>
      <c r="D444" s="1534" t="s">
        <v>1746</v>
      </c>
      <c r="E444" s="1535"/>
      <c r="F444" s="1535"/>
      <c r="G444" s="1536"/>
      <c r="H444" s="890">
        <f>SUM(H445:H464)</f>
        <v>0</v>
      </c>
      <c r="I444" s="890">
        <f t="shared" ref="I444:L444" si="151">SUM(I445:I464)</f>
        <v>0</v>
      </c>
      <c r="J444" s="890">
        <f t="shared" si="151"/>
        <v>0</v>
      </c>
      <c r="K444" s="890">
        <f t="shared" si="151"/>
        <v>0</v>
      </c>
      <c r="L444" s="890">
        <f t="shared" si="151"/>
        <v>0</v>
      </c>
    </row>
    <row r="445" spans="1:13" outlineLevel="1" x14ac:dyDescent="0.2">
      <c r="A445" s="884">
        <v>428</v>
      </c>
      <c r="B445" s="881"/>
      <c r="D445" s="1531" t="s">
        <v>1747</v>
      </c>
      <c r="E445" s="1532"/>
      <c r="F445" s="1532"/>
      <c r="G445" s="1533"/>
      <c r="H445" s="1120">
        <f>+SUMIF('Sumaria renta 20x3'!G:G,'2516 20x3'!A445,'Sumaria renta 20x3'!C:C)</f>
        <v>0</v>
      </c>
      <c r="I445" s="1118"/>
      <c r="J445" s="842">
        <f t="shared" ref="J445:J464" si="152">+IF((H445&gt;L445),(H445-L445),0)</f>
        <v>0</v>
      </c>
      <c r="K445" s="842">
        <f t="shared" ref="K445:K464" si="153">+IF((H445&lt;L445),(L445-H445),0)</f>
        <v>0</v>
      </c>
      <c r="L445" s="842">
        <f>+SUMIF('Sumaria renta 20x3'!G:G,'2516 20x3'!A445,'Sumaria renta 20x3'!E:E)</f>
        <v>0</v>
      </c>
    </row>
    <row r="446" spans="1:13" outlineLevel="1" x14ac:dyDescent="0.2">
      <c r="A446" s="884">
        <v>429</v>
      </c>
      <c r="B446" s="881"/>
      <c r="D446" s="1531" t="s">
        <v>1641</v>
      </c>
      <c r="E446" s="1532"/>
      <c r="F446" s="1532"/>
      <c r="G446" s="1533"/>
      <c r="H446" s="1120">
        <f>+SUMIF('Sumaria renta 20x3'!G:G,'2516 20x3'!A446,'Sumaria renta 20x3'!C:C)</f>
        <v>0</v>
      </c>
      <c r="I446" s="1118"/>
      <c r="J446" s="842">
        <f t="shared" si="152"/>
        <v>0</v>
      </c>
      <c r="K446" s="842">
        <f t="shared" si="153"/>
        <v>0</v>
      </c>
      <c r="L446" s="842">
        <f>+SUMIF('Sumaria renta 20x3'!G:G,'2516 20x3'!A446,'Sumaria renta 20x3'!E:E)</f>
        <v>0</v>
      </c>
    </row>
    <row r="447" spans="1:13" outlineLevel="1" x14ac:dyDescent="0.2">
      <c r="A447" s="884">
        <v>430</v>
      </c>
      <c r="B447" s="881"/>
      <c r="D447" s="1531" t="s">
        <v>709</v>
      </c>
      <c r="E447" s="1532"/>
      <c r="F447" s="1532"/>
      <c r="G447" s="1533"/>
      <c r="H447" s="1120">
        <f>+SUMIF('Sumaria renta 20x3'!G:G,'2516 20x3'!A447,'Sumaria renta 20x3'!C:C)</f>
        <v>0</v>
      </c>
      <c r="I447" s="1118"/>
      <c r="J447" s="842">
        <f t="shared" si="152"/>
        <v>0</v>
      </c>
      <c r="K447" s="842">
        <f t="shared" si="153"/>
        <v>0</v>
      </c>
      <c r="L447" s="842">
        <f>+SUMIF('Sumaria renta 20x3'!G:G,'2516 20x3'!A447,'Sumaria renta 20x3'!E:E)</f>
        <v>0</v>
      </c>
    </row>
    <row r="448" spans="1:13" outlineLevel="1" x14ac:dyDescent="0.2">
      <c r="A448" s="884">
        <v>431</v>
      </c>
      <c r="B448" s="881"/>
      <c r="D448" s="1531" t="s">
        <v>707</v>
      </c>
      <c r="E448" s="1532"/>
      <c r="F448" s="1532"/>
      <c r="G448" s="1533"/>
      <c r="H448" s="1120">
        <f>+SUMIF('Sumaria renta 20x3'!G:G,'2516 20x3'!A448,'Sumaria renta 20x3'!C:C)</f>
        <v>0</v>
      </c>
      <c r="I448" s="1118"/>
      <c r="J448" s="842">
        <f t="shared" si="152"/>
        <v>0</v>
      </c>
      <c r="K448" s="842">
        <f t="shared" si="153"/>
        <v>0</v>
      </c>
      <c r="L448" s="842">
        <f>+SUMIF('Sumaria renta 20x3'!G:G,'2516 20x3'!A448,'Sumaria renta 20x3'!E:E)</f>
        <v>0</v>
      </c>
    </row>
    <row r="449" spans="1:12" outlineLevel="1" x14ac:dyDescent="0.2">
      <c r="A449" s="884">
        <v>432</v>
      </c>
      <c r="B449" s="881"/>
      <c r="D449" s="1531" t="s">
        <v>710</v>
      </c>
      <c r="E449" s="1532"/>
      <c r="F449" s="1532"/>
      <c r="G449" s="1533"/>
      <c r="H449" s="1120">
        <f>+SUMIF('Sumaria renta 20x3'!G:G,'2516 20x3'!A449,'Sumaria renta 20x3'!C:C)</f>
        <v>0</v>
      </c>
      <c r="I449" s="1118"/>
      <c r="J449" s="842">
        <f t="shared" si="152"/>
        <v>0</v>
      </c>
      <c r="K449" s="842">
        <f t="shared" si="153"/>
        <v>0</v>
      </c>
      <c r="L449" s="842">
        <f>+SUMIF('Sumaria renta 20x3'!G:G,'2516 20x3'!A449,'Sumaria renta 20x3'!E:E)</f>
        <v>0</v>
      </c>
    </row>
    <row r="450" spans="1:12" outlineLevel="1" x14ac:dyDescent="0.2">
      <c r="A450" s="884">
        <v>433</v>
      </c>
      <c r="B450" s="881"/>
      <c r="C450" s="1528" t="s">
        <v>1748</v>
      </c>
      <c r="D450" s="1531" t="s">
        <v>1737</v>
      </c>
      <c r="E450" s="1532"/>
      <c r="F450" s="1532"/>
      <c r="G450" s="1533"/>
      <c r="H450" s="1120">
        <f>+SUMIF('Sumaria renta 20x3'!G:G,'2516 20x3'!A450,'Sumaria renta 20x3'!C:C)</f>
        <v>0</v>
      </c>
      <c r="I450" s="1118"/>
      <c r="J450" s="842">
        <f t="shared" si="152"/>
        <v>0</v>
      </c>
      <c r="K450" s="842">
        <f t="shared" si="153"/>
        <v>0</v>
      </c>
      <c r="L450" s="842">
        <f>+SUMIF('Sumaria renta 20x3'!G:G,'2516 20x3'!A450,'Sumaria renta 20x3'!E:E)</f>
        <v>0</v>
      </c>
    </row>
    <row r="451" spans="1:12" ht="25.5" customHeight="1" outlineLevel="1" x14ac:dyDescent="0.2">
      <c r="A451" s="884">
        <v>434</v>
      </c>
      <c r="B451" s="881"/>
      <c r="C451" s="1530"/>
      <c r="D451" s="1531" t="s">
        <v>1638</v>
      </c>
      <c r="E451" s="1532"/>
      <c r="F451" s="1532"/>
      <c r="G451" s="1533"/>
      <c r="H451" s="1120">
        <f>+SUMIF('Sumaria renta 20x3'!G:G,'2516 20x3'!A451,'Sumaria renta 20x3'!C:C)</f>
        <v>0</v>
      </c>
      <c r="I451" s="1118"/>
      <c r="J451" s="842">
        <f t="shared" si="152"/>
        <v>0</v>
      </c>
      <c r="K451" s="842">
        <f t="shared" si="153"/>
        <v>0</v>
      </c>
      <c r="L451" s="842">
        <f>+SUMIF('Sumaria renta 20x3'!G:G,'2516 20x3'!A451,'Sumaria renta 20x3'!E:E)</f>
        <v>0</v>
      </c>
    </row>
    <row r="452" spans="1:12" outlineLevel="1" x14ac:dyDescent="0.2">
      <c r="A452" s="884">
        <v>435</v>
      </c>
      <c r="B452" s="881"/>
      <c r="C452" s="1530"/>
      <c r="D452" s="1531" t="s">
        <v>1738</v>
      </c>
      <c r="E452" s="1532"/>
      <c r="F452" s="1532"/>
      <c r="G452" s="1533"/>
      <c r="H452" s="1120">
        <f>+SUMIF('Sumaria renta 20x3'!G:G,'2516 20x3'!A452,'Sumaria renta 20x3'!C:C)</f>
        <v>0</v>
      </c>
      <c r="I452" s="1118"/>
      <c r="J452" s="842">
        <f t="shared" si="152"/>
        <v>0</v>
      </c>
      <c r="K452" s="842">
        <f t="shared" si="153"/>
        <v>0</v>
      </c>
      <c r="L452" s="842">
        <f>+SUMIF('Sumaria renta 20x3'!G:G,'2516 20x3'!A452,'Sumaria renta 20x3'!E:E)</f>
        <v>0</v>
      </c>
    </row>
    <row r="453" spans="1:12" outlineLevel="1" x14ac:dyDescent="0.2">
      <c r="A453" s="884">
        <v>436</v>
      </c>
      <c r="B453" s="881"/>
      <c r="C453" s="1528" t="s">
        <v>1642</v>
      </c>
      <c r="D453" s="1531" t="s">
        <v>1737</v>
      </c>
      <c r="E453" s="1532"/>
      <c r="F453" s="1532"/>
      <c r="G453" s="1533"/>
      <c r="H453" s="1120">
        <f>+SUMIF('Sumaria renta 20x3'!G:G,'2516 20x3'!A453,'Sumaria renta 20x3'!C:C)</f>
        <v>0</v>
      </c>
      <c r="I453" s="1118"/>
      <c r="J453" s="842">
        <f t="shared" si="152"/>
        <v>0</v>
      </c>
      <c r="K453" s="842">
        <f t="shared" si="153"/>
        <v>0</v>
      </c>
      <c r="L453" s="842">
        <f>+SUMIF('Sumaria renta 20x3'!G:G,'2516 20x3'!A453,'Sumaria renta 20x3'!E:E)</f>
        <v>0</v>
      </c>
    </row>
    <row r="454" spans="1:12" outlineLevel="1" x14ac:dyDescent="0.2">
      <c r="A454" s="884">
        <v>437</v>
      </c>
      <c r="B454" s="881"/>
      <c r="C454" s="1530"/>
      <c r="D454" s="1531" t="s">
        <v>1638</v>
      </c>
      <c r="E454" s="1532"/>
      <c r="F454" s="1532"/>
      <c r="G454" s="1533"/>
      <c r="H454" s="1120">
        <f>+SUMIF('Sumaria renta 20x3'!G:G,'2516 20x3'!A454,'Sumaria renta 20x3'!C:C)</f>
        <v>0</v>
      </c>
      <c r="I454" s="1118"/>
      <c r="J454" s="842">
        <f t="shared" si="152"/>
        <v>0</v>
      </c>
      <c r="K454" s="842">
        <f t="shared" si="153"/>
        <v>0</v>
      </c>
      <c r="L454" s="842">
        <f>+SUMIF('Sumaria renta 20x3'!G:G,'2516 20x3'!A454,'Sumaria renta 20x3'!E:E)</f>
        <v>0</v>
      </c>
    </row>
    <row r="455" spans="1:12" outlineLevel="1" x14ac:dyDescent="0.2">
      <c r="A455" s="884">
        <v>438</v>
      </c>
      <c r="B455" s="881"/>
      <c r="C455" s="1529"/>
      <c r="D455" s="1531" t="s">
        <v>1738</v>
      </c>
      <c r="E455" s="1532"/>
      <c r="F455" s="1532"/>
      <c r="G455" s="1533"/>
      <c r="H455" s="1120">
        <f>+SUMIF('Sumaria renta 20x3'!G:G,'2516 20x3'!A455,'Sumaria renta 20x3'!C:C)</f>
        <v>0</v>
      </c>
      <c r="I455" s="1118"/>
      <c r="J455" s="842">
        <f t="shared" si="152"/>
        <v>0</v>
      </c>
      <c r="K455" s="842">
        <f t="shared" si="153"/>
        <v>0</v>
      </c>
      <c r="L455" s="842">
        <f>+SUMIF('Sumaria renta 20x3'!G:G,'2516 20x3'!A455,'Sumaria renta 20x3'!E:E)</f>
        <v>0</v>
      </c>
    </row>
    <row r="456" spans="1:12" outlineLevel="1" x14ac:dyDescent="0.2">
      <c r="A456" s="884">
        <v>439</v>
      </c>
      <c r="B456" s="881"/>
      <c r="C456" s="1530" t="s">
        <v>1739</v>
      </c>
      <c r="D456" s="1531" t="s">
        <v>1737</v>
      </c>
      <c r="E456" s="1532"/>
      <c r="F456" s="1532"/>
      <c r="G456" s="1533"/>
      <c r="H456" s="1120">
        <f>+SUMIF('Sumaria renta 20x3'!G:G,'2516 20x3'!A456,'Sumaria renta 20x3'!C:C)</f>
        <v>0</v>
      </c>
      <c r="I456" s="1118"/>
      <c r="J456" s="842">
        <f t="shared" si="152"/>
        <v>0</v>
      </c>
      <c r="K456" s="842">
        <f t="shared" si="153"/>
        <v>0</v>
      </c>
      <c r="L456" s="842">
        <f>+SUMIF('Sumaria renta 20x3'!G:G,'2516 20x3'!A456,'Sumaria renta 20x3'!E:E)</f>
        <v>0</v>
      </c>
    </row>
    <row r="457" spans="1:12" outlineLevel="1" x14ac:dyDescent="0.2">
      <c r="A457" s="884">
        <v>440</v>
      </c>
      <c r="B457" s="881"/>
      <c r="C457" s="1530"/>
      <c r="D457" s="1531" t="s">
        <v>1638</v>
      </c>
      <c r="E457" s="1532"/>
      <c r="F457" s="1532"/>
      <c r="G457" s="1533"/>
      <c r="H457" s="1120">
        <f>+SUMIF('Sumaria renta 20x3'!G:G,'2516 20x3'!A457,'Sumaria renta 20x3'!C:C)</f>
        <v>0</v>
      </c>
      <c r="I457" s="1118"/>
      <c r="J457" s="842">
        <f t="shared" si="152"/>
        <v>0</v>
      </c>
      <c r="K457" s="842">
        <f t="shared" si="153"/>
        <v>0</v>
      </c>
      <c r="L457" s="842">
        <f>+SUMIF('Sumaria renta 20x3'!G:G,'2516 20x3'!A457,'Sumaria renta 20x3'!E:E)</f>
        <v>0</v>
      </c>
    </row>
    <row r="458" spans="1:12" outlineLevel="1" x14ac:dyDescent="0.2">
      <c r="A458" s="884">
        <v>441</v>
      </c>
      <c r="B458" s="881"/>
      <c r="C458" s="1529"/>
      <c r="D458" s="1531" t="s">
        <v>1738</v>
      </c>
      <c r="E458" s="1532"/>
      <c r="F458" s="1532"/>
      <c r="G458" s="1533"/>
      <c r="H458" s="1120">
        <f>+SUMIF('Sumaria renta 20x3'!G:G,'2516 20x3'!A458,'Sumaria renta 20x3'!C:C)</f>
        <v>0</v>
      </c>
      <c r="I458" s="1118"/>
      <c r="J458" s="842">
        <f t="shared" si="152"/>
        <v>0</v>
      </c>
      <c r="K458" s="842">
        <f t="shared" si="153"/>
        <v>0</v>
      </c>
      <c r="L458" s="842">
        <f>+SUMIF('Sumaria renta 20x3'!G:G,'2516 20x3'!A458,'Sumaria renta 20x3'!E:E)</f>
        <v>0</v>
      </c>
    </row>
    <row r="459" spans="1:12" outlineLevel="1" x14ac:dyDescent="0.2">
      <c r="A459" s="884">
        <v>442</v>
      </c>
      <c r="B459" s="881"/>
      <c r="D459" s="1531" t="s">
        <v>1749</v>
      </c>
      <c r="E459" s="1532"/>
      <c r="F459" s="1532"/>
      <c r="G459" s="1533"/>
      <c r="H459" s="1120">
        <f>+SUMIF('Sumaria renta 20x3'!G:G,'2516 20x3'!A459,'Sumaria renta 20x3'!C:C)</f>
        <v>0</v>
      </c>
      <c r="I459" s="1118"/>
      <c r="J459" s="842">
        <f t="shared" si="152"/>
        <v>0</v>
      </c>
      <c r="K459" s="842">
        <f t="shared" si="153"/>
        <v>0</v>
      </c>
      <c r="L459" s="842">
        <f>+SUMIF('Sumaria renta 20x3'!G:G,'2516 20x3'!A459,'Sumaria renta 20x3'!E:E)</f>
        <v>0</v>
      </c>
    </row>
    <row r="460" spans="1:12" outlineLevel="1" x14ac:dyDescent="0.2">
      <c r="A460" s="884">
        <v>443</v>
      </c>
      <c r="B460" s="881"/>
      <c r="D460" s="1531" t="s">
        <v>1750</v>
      </c>
      <c r="E460" s="1532"/>
      <c r="F460" s="1532"/>
      <c r="G460" s="1533"/>
      <c r="H460" s="1120">
        <f>+SUMIF('Sumaria renta 20x3'!G:G,'2516 20x3'!A460,'Sumaria renta 20x3'!C:C)</f>
        <v>0</v>
      </c>
      <c r="I460" s="1118"/>
      <c r="J460" s="842">
        <f t="shared" si="152"/>
        <v>0</v>
      </c>
      <c r="K460" s="842">
        <f t="shared" si="153"/>
        <v>0</v>
      </c>
      <c r="L460" s="842">
        <f>+SUMIF('Sumaria renta 20x3'!G:G,'2516 20x3'!A460,'Sumaria renta 20x3'!E:E)</f>
        <v>0</v>
      </c>
    </row>
    <row r="461" spans="1:12" outlineLevel="1" x14ac:dyDescent="0.2">
      <c r="A461" s="884">
        <v>444</v>
      </c>
      <c r="B461" s="881"/>
      <c r="D461" s="1531" t="s">
        <v>222</v>
      </c>
      <c r="E461" s="1532"/>
      <c r="F461" s="1532"/>
      <c r="G461" s="1533"/>
      <c r="H461" s="1120">
        <f>+SUMIF('Sumaria renta 20x3'!G:G,'2516 20x3'!A461,'Sumaria renta 20x3'!C:C)</f>
        <v>0</v>
      </c>
      <c r="I461" s="1118"/>
      <c r="J461" s="842">
        <f t="shared" si="152"/>
        <v>0</v>
      </c>
      <c r="K461" s="842">
        <f t="shared" si="153"/>
        <v>0</v>
      </c>
      <c r="L461" s="842">
        <f>+SUMIF('Sumaria renta 20x3'!G:G,'2516 20x3'!A461,'Sumaria renta 20x3'!E:E)</f>
        <v>0</v>
      </c>
    </row>
    <row r="462" spans="1:12" outlineLevel="1" x14ac:dyDescent="0.2">
      <c r="A462" s="884">
        <v>445</v>
      </c>
      <c r="B462" s="881"/>
      <c r="D462" s="1531" t="s">
        <v>1751</v>
      </c>
      <c r="E462" s="1532"/>
      <c r="F462" s="1532"/>
      <c r="G462" s="1533"/>
      <c r="H462" s="1120">
        <f>+SUMIF('Sumaria renta 20x3'!G:G,'2516 20x3'!A462,'Sumaria renta 20x3'!C:C)</f>
        <v>0</v>
      </c>
      <c r="I462" s="1118"/>
      <c r="J462" s="842">
        <f t="shared" si="152"/>
        <v>0</v>
      </c>
      <c r="K462" s="842">
        <f t="shared" si="153"/>
        <v>0</v>
      </c>
      <c r="L462" s="842">
        <f>+SUMIF('Sumaria renta 20x3'!G:G,'2516 20x3'!A462,'Sumaria renta 20x3'!E:E)</f>
        <v>0</v>
      </c>
    </row>
    <row r="463" spans="1:12" outlineLevel="1" x14ac:dyDescent="0.2">
      <c r="A463" s="884">
        <v>446</v>
      </c>
      <c r="B463" s="881"/>
      <c r="D463" s="1531" t="s">
        <v>1752</v>
      </c>
      <c r="E463" s="1532"/>
      <c r="F463" s="1532"/>
      <c r="G463" s="1533"/>
      <c r="H463" s="1120">
        <f>+SUMIF('Sumaria renta 20x3'!G:G,'2516 20x3'!A463,'Sumaria renta 20x3'!C:C)</f>
        <v>0</v>
      </c>
      <c r="I463" s="1118"/>
      <c r="J463" s="842">
        <f t="shared" si="152"/>
        <v>0</v>
      </c>
      <c r="K463" s="842">
        <f t="shared" si="153"/>
        <v>0</v>
      </c>
      <c r="L463" s="842">
        <f>+SUMIF('Sumaria renta 20x3'!G:G,'2516 20x3'!A463,'Sumaria renta 20x3'!E:E)</f>
        <v>0</v>
      </c>
    </row>
    <row r="464" spans="1:12" outlineLevel="1" x14ac:dyDescent="0.2">
      <c r="A464" s="884">
        <v>447</v>
      </c>
      <c r="B464" s="881"/>
      <c r="D464" s="1531" t="s">
        <v>150</v>
      </c>
      <c r="E464" s="1532"/>
      <c r="F464" s="1532"/>
      <c r="G464" s="1533"/>
      <c r="H464" s="1120">
        <f>+SUMIF('Sumaria renta 20x3'!G:G,'2516 20x3'!A464,'Sumaria renta 20x3'!C:C)</f>
        <v>0</v>
      </c>
      <c r="I464" s="1118"/>
      <c r="J464" s="842">
        <f t="shared" si="152"/>
        <v>0</v>
      </c>
      <c r="K464" s="842">
        <f t="shared" si="153"/>
        <v>0</v>
      </c>
      <c r="L464" s="842">
        <f>+SUMIF('Sumaria renta 20x3'!G:G,'2516 20x3'!A464,'Sumaria renta 20x3'!E:E)</f>
        <v>0</v>
      </c>
    </row>
    <row r="465" spans="1:12" outlineLevel="1" x14ac:dyDescent="0.2">
      <c r="A465" s="880">
        <v>448</v>
      </c>
      <c r="B465" s="881"/>
      <c r="D465" s="1534" t="s">
        <v>1720</v>
      </c>
      <c r="E465" s="1535"/>
      <c r="F465" s="1535"/>
      <c r="G465" s="1536"/>
      <c r="H465" s="1136">
        <f>+SUM(H466:H489)</f>
        <v>0</v>
      </c>
      <c r="I465" s="1136">
        <f t="shared" ref="I465:L465" si="154">+SUM(I466:I489)</f>
        <v>0</v>
      </c>
      <c r="J465" s="1136">
        <f t="shared" si="154"/>
        <v>0</v>
      </c>
      <c r="K465" s="1136">
        <f t="shared" si="154"/>
        <v>0</v>
      </c>
      <c r="L465" s="1136">
        <f t="shared" si="154"/>
        <v>0</v>
      </c>
    </row>
    <row r="466" spans="1:12" outlineLevel="1" x14ac:dyDescent="0.2">
      <c r="A466" s="884">
        <v>449</v>
      </c>
      <c r="B466" s="881"/>
      <c r="C466" s="1528" t="s">
        <v>1721</v>
      </c>
      <c r="D466" s="1531" t="s">
        <v>1725</v>
      </c>
      <c r="E466" s="1532"/>
      <c r="F466" s="1532"/>
      <c r="G466" s="1533"/>
      <c r="H466" s="1120">
        <f>+SUMIF('Sumaria renta 20x3'!G:G,'2516 20x3'!A466,'Sumaria renta 20x3'!C:C)</f>
        <v>0</v>
      </c>
      <c r="I466" s="1118"/>
      <c r="J466" s="842">
        <f t="shared" ref="J466:J489" si="155">+IF((H466&gt;L466),(H466-L466),0)</f>
        <v>0</v>
      </c>
      <c r="K466" s="842">
        <f t="shared" ref="K466:K489" si="156">+IF((H466&lt;L466),(L466-H466),0)</f>
        <v>0</v>
      </c>
      <c r="L466" s="842">
        <f>+SUMIF('Sumaria renta 20x3'!G:G,'2516 20x3'!A466,'Sumaria renta 20x3'!E:E)</f>
        <v>0</v>
      </c>
    </row>
    <row r="467" spans="1:12" ht="23.25" customHeight="1" outlineLevel="1" x14ac:dyDescent="0.2">
      <c r="A467" s="884">
        <v>450</v>
      </c>
      <c r="B467" s="881"/>
      <c r="C467" s="1529"/>
      <c r="D467" s="1531" t="s">
        <v>1723</v>
      </c>
      <c r="E467" s="1532"/>
      <c r="F467" s="1532"/>
      <c r="G467" s="1533"/>
      <c r="H467" s="1120">
        <f>+SUMIF('Sumaria renta 20x3'!G:G,'2516 20x3'!A467,'Sumaria renta 20x3'!C:C)</f>
        <v>0</v>
      </c>
      <c r="I467" s="1118"/>
      <c r="J467" s="842">
        <f t="shared" si="155"/>
        <v>0</v>
      </c>
      <c r="K467" s="842">
        <f t="shared" si="156"/>
        <v>0</v>
      </c>
      <c r="L467" s="842">
        <f>+SUMIF('Sumaria renta 20x3'!G:G,'2516 20x3'!A467,'Sumaria renta 20x3'!E:E)</f>
        <v>0</v>
      </c>
    </row>
    <row r="468" spans="1:12" outlineLevel="1" x14ac:dyDescent="0.2">
      <c r="A468" s="884">
        <v>451</v>
      </c>
      <c r="B468" s="881"/>
      <c r="C468" s="1528" t="s">
        <v>1724</v>
      </c>
      <c r="D468" s="1531" t="s">
        <v>1725</v>
      </c>
      <c r="E468" s="1532"/>
      <c r="F468" s="1532"/>
      <c r="G468" s="1533"/>
      <c r="H468" s="1120">
        <f>+SUMIF('Sumaria renta 20x3'!G:G,'2516 20x3'!A468,'Sumaria renta 20x3'!C:C)</f>
        <v>0</v>
      </c>
      <c r="I468" s="1118"/>
      <c r="J468" s="842">
        <f t="shared" si="155"/>
        <v>0</v>
      </c>
      <c r="K468" s="842">
        <f t="shared" si="156"/>
        <v>0</v>
      </c>
      <c r="L468" s="842">
        <f>+SUMIF('Sumaria renta 20x3'!G:G,'2516 20x3'!A468,'Sumaria renta 20x3'!E:E)</f>
        <v>0</v>
      </c>
    </row>
    <row r="469" spans="1:12" ht="26.25" customHeight="1" outlineLevel="1" x14ac:dyDescent="0.2">
      <c r="A469" s="884">
        <v>452</v>
      </c>
      <c r="B469" s="881"/>
      <c r="C469" s="1529"/>
      <c r="D469" s="1531" t="s">
        <v>1723</v>
      </c>
      <c r="E469" s="1532"/>
      <c r="F469" s="1532"/>
      <c r="G469" s="1533"/>
      <c r="H469" s="1120">
        <f>+SUMIF('Sumaria renta 20x3'!G:G,'2516 20x3'!A469,'Sumaria renta 20x3'!C:C)</f>
        <v>0</v>
      </c>
      <c r="I469" s="1118"/>
      <c r="J469" s="842">
        <f t="shared" si="155"/>
        <v>0</v>
      </c>
      <c r="K469" s="842">
        <f t="shared" si="156"/>
        <v>0</v>
      </c>
      <c r="L469" s="842">
        <f>+SUMIF('Sumaria renta 20x3'!G:G,'2516 20x3'!A469,'Sumaria renta 20x3'!E:E)</f>
        <v>0</v>
      </c>
    </row>
    <row r="470" spans="1:12" outlineLevel="1" x14ac:dyDescent="0.2">
      <c r="A470" s="884">
        <v>453</v>
      </c>
      <c r="B470" s="881"/>
      <c r="D470" s="1531" t="s">
        <v>1753</v>
      </c>
      <c r="E470" s="1532"/>
      <c r="F470" s="1532"/>
      <c r="G470" s="1533"/>
      <c r="H470" s="1120">
        <f>+SUMIF('Sumaria renta 20x3'!G:G,'2516 20x3'!A470,'Sumaria renta 20x3'!C:C)</f>
        <v>0</v>
      </c>
      <c r="I470" s="1118"/>
      <c r="J470" s="842">
        <f t="shared" si="155"/>
        <v>0</v>
      </c>
      <c r="K470" s="842">
        <f t="shared" si="156"/>
        <v>0</v>
      </c>
      <c r="L470" s="842">
        <f>+SUMIF('Sumaria renta 20x3'!G:G,'2516 20x3'!A470,'Sumaria renta 20x3'!E:E)</f>
        <v>0</v>
      </c>
    </row>
    <row r="471" spans="1:12" outlineLevel="1" x14ac:dyDescent="0.2">
      <c r="A471" s="884">
        <v>454</v>
      </c>
      <c r="B471" s="881"/>
      <c r="C471" s="1528" t="s">
        <v>1754</v>
      </c>
      <c r="D471" s="1531" t="s">
        <v>1725</v>
      </c>
      <c r="E471" s="1532"/>
      <c r="F471" s="1532"/>
      <c r="G471" s="1533"/>
      <c r="H471" s="1120">
        <f>+SUMIF('Sumaria renta 20x3'!G:G,'2516 20x3'!A471,'Sumaria renta 20x3'!C:C)</f>
        <v>0</v>
      </c>
      <c r="I471" s="1118"/>
      <c r="J471" s="842">
        <f t="shared" si="155"/>
        <v>0</v>
      </c>
      <c r="K471" s="842">
        <f t="shared" si="156"/>
        <v>0</v>
      </c>
      <c r="L471" s="842">
        <f>+SUMIF('Sumaria renta 20x3'!G:G,'2516 20x3'!A471,'Sumaria renta 20x3'!E:E)</f>
        <v>0</v>
      </c>
    </row>
    <row r="472" spans="1:12" ht="23.25" customHeight="1" outlineLevel="1" x14ac:dyDescent="0.2">
      <c r="A472" s="884">
        <v>455</v>
      </c>
      <c r="B472" s="881"/>
      <c r="C472" s="1530"/>
      <c r="D472" s="1531" t="s">
        <v>1723</v>
      </c>
      <c r="E472" s="1532"/>
      <c r="F472" s="1532"/>
      <c r="G472" s="1533"/>
      <c r="H472" s="1120">
        <f>+SUMIF('Sumaria renta 20x3'!G:G,'2516 20x3'!A472,'Sumaria renta 20x3'!C:C)</f>
        <v>0</v>
      </c>
      <c r="I472" s="1118"/>
      <c r="J472" s="842">
        <f t="shared" si="155"/>
        <v>0</v>
      </c>
      <c r="K472" s="842">
        <f t="shared" si="156"/>
        <v>0</v>
      </c>
      <c r="L472" s="842">
        <f>+SUMIF('Sumaria renta 20x3'!G:G,'2516 20x3'!A472,'Sumaria renta 20x3'!E:E)</f>
        <v>0</v>
      </c>
    </row>
    <row r="473" spans="1:12" outlineLevel="1" x14ac:dyDescent="0.2">
      <c r="A473" s="884">
        <v>456</v>
      </c>
      <c r="B473" s="881"/>
      <c r="C473" s="1528" t="s">
        <v>1727</v>
      </c>
      <c r="D473" s="1531" t="s">
        <v>1725</v>
      </c>
      <c r="E473" s="1532"/>
      <c r="F473" s="1532"/>
      <c r="G473" s="1533"/>
      <c r="H473" s="1120">
        <f>+SUMIF('Sumaria renta 20x3'!G:G,'2516 20x3'!A473,'Sumaria renta 20x3'!C:C)</f>
        <v>0</v>
      </c>
      <c r="I473" s="1118"/>
      <c r="J473" s="842">
        <f t="shared" si="155"/>
        <v>0</v>
      </c>
      <c r="K473" s="842">
        <f t="shared" si="156"/>
        <v>0</v>
      </c>
      <c r="L473" s="842">
        <f>+SUMIF('Sumaria renta 20x3'!G:G,'2516 20x3'!A473,'Sumaria renta 20x3'!E:E)</f>
        <v>0</v>
      </c>
    </row>
    <row r="474" spans="1:12" ht="22.5" customHeight="1" outlineLevel="1" x14ac:dyDescent="0.2">
      <c r="A474" s="884">
        <v>457</v>
      </c>
      <c r="B474" s="881"/>
      <c r="C474" s="1529"/>
      <c r="D474" s="1531" t="s">
        <v>1723</v>
      </c>
      <c r="E474" s="1532"/>
      <c r="F474" s="1532"/>
      <c r="G474" s="1533"/>
      <c r="H474" s="1120">
        <f>+SUMIF('Sumaria renta 20x3'!G:G,'2516 20x3'!A474,'Sumaria renta 20x3'!C:C)</f>
        <v>0</v>
      </c>
      <c r="I474" s="1118"/>
      <c r="J474" s="842">
        <f t="shared" si="155"/>
        <v>0</v>
      </c>
      <c r="K474" s="842">
        <f t="shared" si="156"/>
        <v>0</v>
      </c>
      <c r="L474" s="842">
        <f>+SUMIF('Sumaria renta 20x3'!G:G,'2516 20x3'!A474,'Sumaria renta 20x3'!E:E)</f>
        <v>0</v>
      </c>
    </row>
    <row r="475" spans="1:12" outlineLevel="1" x14ac:dyDescent="0.2">
      <c r="A475" s="884">
        <v>458</v>
      </c>
      <c r="B475" s="881"/>
      <c r="C475" s="1530" t="s">
        <v>1755</v>
      </c>
      <c r="D475" s="1531" t="s">
        <v>1725</v>
      </c>
      <c r="E475" s="1532"/>
      <c r="F475" s="1532"/>
      <c r="G475" s="1533"/>
      <c r="H475" s="1120">
        <f>+SUMIF('Sumaria renta 20x3'!G:G,'2516 20x3'!A475,'Sumaria renta 20x3'!C:C)</f>
        <v>0</v>
      </c>
      <c r="I475" s="1118"/>
      <c r="J475" s="842">
        <f t="shared" si="155"/>
        <v>0</v>
      </c>
      <c r="K475" s="842">
        <f t="shared" si="156"/>
        <v>0</v>
      </c>
      <c r="L475" s="842">
        <f>+SUMIF('Sumaria renta 20x3'!G:G,'2516 20x3'!A475,'Sumaria renta 20x3'!E:E)</f>
        <v>0</v>
      </c>
    </row>
    <row r="476" spans="1:12" ht="22.5" customHeight="1" outlineLevel="1" x14ac:dyDescent="0.2">
      <c r="A476" s="884">
        <v>459</v>
      </c>
      <c r="B476" s="881"/>
      <c r="C476" s="1529"/>
      <c r="D476" s="1531" t="s">
        <v>1723</v>
      </c>
      <c r="E476" s="1532"/>
      <c r="F476" s="1532"/>
      <c r="G476" s="1533"/>
      <c r="H476" s="1120">
        <f>+SUMIF('Sumaria renta 20x3'!G:G,'2516 20x3'!A476,'Sumaria renta 20x3'!C:C)</f>
        <v>0</v>
      </c>
      <c r="I476" s="1118"/>
      <c r="J476" s="842">
        <f t="shared" si="155"/>
        <v>0</v>
      </c>
      <c r="K476" s="842">
        <f t="shared" si="156"/>
        <v>0</v>
      </c>
      <c r="L476" s="842">
        <f>+SUMIF('Sumaria renta 20x3'!G:G,'2516 20x3'!A476,'Sumaria renta 20x3'!E:E)</f>
        <v>0</v>
      </c>
    </row>
    <row r="477" spans="1:12" ht="12.75" customHeight="1" outlineLevel="1" x14ac:dyDescent="0.2">
      <c r="A477" s="884">
        <v>460</v>
      </c>
      <c r="B477" s="881"/>
      <c r="C477" s="1528" t="s">
        <v>1730</v>
      </c>
      <c r="D477" s="1531" t="s">
        <v>143</v>
      </c>
      <c r="E477" s="1532"/>
      <c r="F477" s="1532"/>
      <c r="G477" s="1533"/>
      <c r="H477" s="1120">
        <f>+SUMIF('Sumaria renta 20x3'!G:G,'2516 20x3'!A477,'Sumaria renta 20x3'!C:C)</f>
        <v>0</v>
      </c>
      <c r="I477" s="1118"/>
      <c r="J477" s="842">
        <f t="shared" si="155"/>
        <v>0</v>
      </c>
      <c r="K477" s="842">
        <f t="shared" si="156"/>
        <v>0</v>
      </c>
      <c r="L477" s="842">
        <f>+SUMIF('Sumaria renta 20x3'!G:G,'2516 20x3'!A477,'Sumaria renta 20x3'!E:E)</f>
        <v>0</v>
      </c>
    </row>
    <row r="478" spans="1:12" outlineLevel="1" x14ac:dyDescent="0.2">
      <c r="A478" s="884">
        <v>461</v>
      </c>
      <c r="B478" s="881"/>
      <c r="C478" s="1530"/>
      <c r="D478" s="1531" t="s">
        <v>431</v>
      </c>
      <c r="E478" s="1532"/>
      <c r="F478" s="1532"/>
      <c r="G478" s="1533"/>
      <c r="H478" s="1120">
        <f>+SUMIF('Sumaria renta 20x3'!G:G,'2516 20x3'!A478,'Sumaria renta 20x3'!C:C)</f>
        <v>0</v>
      </c>
      <c r="I478" s="1118"/>
      <c r="J478" s="842">
        <f t="shared" si="155"/>
        <v>0</v>
      </c>
      <c r="K478" s="842">
        <f t="shared" si="156"/>
        <v>0</v>
      </c>
      <c r="L478" s="842">
        <f>+SUMIF('Sumaria renta 20x3'!G:G,'2516 20x3'!A478,'Sumaria renta 20x3'!E:E)</f>
        <v>0</v>
      </c>
    </row>
    <row r="479" spans="1:12" outlineLevel="1" x14ac:dyDescent="0.2">
      <c r="A479" s="884">
        <v>462</v>
      </c>
      <c r="B479" s="881"/>
      <c r="C479" s="1530"/>
      <c r="D479" s="1531" t="s">
        <v>813</v>
      </c>
      <c r="E479" s="1532"/>
      <c r="F479" s="1532"/>
      <c r="G479" s="1533"/>
      <c r="H479" s="1120">
        <f>+SUMIF('Sumaria renta 20x3'!G:G,'2516 20x3'!A479,'Sumaria renta 20x3'!C:C)</f>
        <v>0</v>
      </c>
      <c r="I479" s="1118"/>
      <c r="J479" s="842">
        <f t="shared" si="155"/>
        <v>0</v>
      </c>
      <c r="K479" s="842">
        <f t="shared" si="156"/>
        <v>0</v>
      </c>
      <c r="L479" s="842">
        <f>+SUMIF('Sumaria renta 20x3'!G:G,'2516 20x3'!A479,'Sumaria renta 20x3'!E:E)</f>
        <v>0</v>
      </c>
    </row>
    <row r="480" spans="1:12" outlineLevel="1" x14ac:dyDescent="0.2">
      <c r="A480" s="884">
        <v>463</v>
      </c>
      <c r="B480" s="881"/>
      <c r="C480" s="1530"/>
      <c r="D480" s="1531" t="s">
        <v>1674</v>
      </c>
      <c r="E480" s="1532"/>
      <c r="F480" s="1532"/>
      <c r="G480" s="1533"/>
      <c r="H480" s="1120">
        <f>+SUMIF('Sumaria renta 20x3'!G:G,'2516 20x3'!A480,'Sumaria renta 20x3'!C:C)</f>
        <v>0</v>
      </c>
      <c r="I480" s="1118"/>
      <c r="J480" s="842">
        <f t="shared" si="155"/>
        <v>0</v>
      </c>
      <c r="K480" s="842">
        <f t="shared" si="156"/>
        <v>0</v>
      </c>
      <c r="L480" s="842">
        <f>+SUMIF('Sumaria renta 20x3'!G:G,'2516 20x3'!A480,'Sumaria renta 20x3'!E:E)</f>
        <v>0</v>
      </c>
    </row>
    <row r="481" spans="1:12" ht="27" customHeight="1" outlineLevel="1" x14ac:dyDescent="0.2">
      <c r="A481" s="884">
        <v>464</v>
      </c>
      <c r="B481" s="881"/>
      <c r="C481" s="1530"/>
      <c r="D481" s="1531" t="s">
        <v>1675</v>
      </c>
      <c r="E481" s="1532"/>
      <c r="F481" s="1532"/>
      <c r="G481" s="1533"/>
      <c r="H481" s="1120">
        <f>+SUMIF('Sumaria renta 20x3'!G:G,'2516 20x3'!A481,'Sumaria renta 20x3'!C:C)</f>
        <v>0</v>
      </c>
      <c r="I481" s="1118"/>
      <c r="J481" s="842">
        <f t="shared" si="155"/>
        <v>0</v>
      </c>
      <c r="K481" s="842">
        <f t="shared" si="156"/>
        <v>0</v>
      </c>
      <c r="L481" s="842">
        <f>+SUMIF('Sumaria renta 20x3'!G:G,'2516 20x3'!A481,'Sumaria renta 20x3'!E:E)</f>
        <v>0</v>
      </c>
    </row>
    <row r="482" spans="1:12" ht="23.25" customHeight="1" outlineLevel="1" x14ac:dyDescent="0.2">
      <c r="A482" s="884">
        <v>465</v>
      </c>
      <c r="B482" s="881"/>
      <c r="C482" s="1530"/>
      <c r="D482" s="1531" t="s">
        <v>1731</v>
      </c>
      <c r="E482" s="1532"/>
      <c r="F482" s="1532"/>
      <c r="G482" s="1533"/>
      <c r="H482" s="1120">
        <f>+SUMIF('Sumaria renta 20x3'!G:G,'2516 20x3'!A482,'Sumaria renta 20x3'!C:C)</f>
        <v>0</v>
      </c>
      <c r="I482" s="1118"/>
      <c r="J482" s="842">
        <f t="shared" si="155"/>
        <v>0</v>
      </c>
      <c r="K482" s="842">
        <f t="shared" si="156"/>
        <v>0</v>
      </c>
      <c r="L482" s="842">
        <f>+SUMIF('Sumaria renta 20x3'!G:G,'2516 20x3'!A482,'Sumaria renta 20x3'!E:E)</f>
        <v>0</v>
      </c>
    </row>
    <row r="483" spans="1:12" outlineLevel="1" x14ac:dyDescent="0.2">
      <c r="A483" s="884">
        <v>466</v>
      </c>
      <c r="B483" s="881"/>
      <c r="C483" s="1530"/>
      <c r="D483" s="1531" t="s">
        <v>1732</v>
      </c>
      <c r="E483" s="1532"/>
      <c r="F483" s="1532"/>
      <c r="G483" s="1533"/>
      <c r="H483" s="1120">
        <f>+SUMIF('Sumaria renta 20x3'!G:G,'2516 20x3'!A483,'Sumaria renta 20x3'!C:C)</f>
        <v>0</v>
      </c>
      <c r="I483" s="1118"/>
      <c r="J483" s="842">
        <f t="shared" si="155"/>
        <v>0</v>
      </c>
      <c r="K483" s="842">
        <f t="shared" si="156"/>
        <v>0</v>
      </c>
      <c r="L483" s="842">
        <f>+SUMIF('Sumaria renta 20x3'!G:G,'2516 20x3'!A483,'Sumaria renta 20x3'!E:E)</f>
        <v>0</v>
      </c>
    </row>
    <row r="484" spans="1:12" outlineLevel="1" x14ac:dyDescent="0.2">
      <c r="A484" s="884">
        <v>467</v>
      </c>
      <c r="B484" s="881"/>
      <c r="C484" s="1530"/>
      <c r="D484" s="1531" t="s">
        <v>1676</v>
      </c>
      <c r="E484" s="1532"/>
      <c r="F484" s="1532"/>
      <c r="G484" s="1533"/>
      <c r="H484" s="1120">
        <f>+SUMIF('Sumaria renta 20x3'!G:G,'2516 20x3'!A484,'Sumaria renta 20x3'!C:C)</f>
        <v>0</v>
      </c>
      <c r="I484" s="1118"/>
      <c r="J484" s="842">
        <f t="shared" si="155"/>
        <v>0</v>
      </c>
      <c r="K484" s="842">
        <f t="shared" si="156"/>
        <v>0</v>
      </c>
      <c r="L484" s="842">
        <f>+SUMIF('Sumaria renta 20x3'!G:G,'2516 20x3'!A484,'Sumaria renta 20x3'!E:E)</f>
        <v>0</v>
      </c>
    </row>
    <row r="485" spans="1:12" ht="28.5" customHeight="1" outlineLevel="1" x14ac:dyDescent="0.2">
      <c r="A485" s="884">
        <v>468</v>
      </c>
      <c r="B485" s="881"/>
      <c r="C485" s="1530"/>
      <c r="D485" s="1531" t="s">
        <v>1678</v>
      </c>
      <c r="E485" s="1532"/>
      <c r="F485" s="1532"/>
      <c r="G485" s="1533"/>
      <c r="H485" s="1120">
        <f>+SUMIF('Sumaria renta 20x3'!G:G,'2516 20x3'!A485,'Sumaria renta 20x3'!C:C)</f>
        <v>0</v>
      </c>
      <c r="I485" s="1118"/>
      <c r="J485" s="842">
        <f t="shared" si="155"/>
        <v>0</v>
      </c>
      <c r="K485" s="842">
        <f t="shared" si="156"/>
        <v>0</v>
      </c>
      <c r="L485" s="842">
        <f>+SUMIF('Sumaria renta 20x3'!G:G,'2516 20x3'!A485,'Sumaria renta 20x3'!E:E)</f>
        <v>0</v>
      </c>
    </row>
    <row r="486" spans="1:12" outlineLevel="1" x14ac:dyDescent="0.2">
      <c r="A486" s="884">
        <v>469</v>
      </c>
      <c r="B486" s="881"/>
      <c r="C486" s="1530"/>
      <c r="D486" s="1531" t="s">
        <v>1679</v>
      </c>
      <c r="E486" s="1532"/>
      <c r="F486" s="1532"/>
      <c r="G486" s="1533"/>
      <c r="H486" s="1120">
        <f>+SUMIF('Sumaria renta 20x3'!G:G,'2516 20x3'!A486,'Sumaria renta 20x3'!C:C)</f>
        <v>0</v>
      </c>
      <c r="I486" s="1118"/>
      <c r="J486" s="842">
        <f t="shared" si="155"/>
        <v>0</v>
      </c>
      <c r="K486" s="842">
        <f t="shared" si="156"/>
        <v>0</v>
      </c>
      <c r="L486" s="842">
        <f>+SUMIF('Sumaria renta 20x3'!G:G,'2516 20x3'!A486,'Sumaria renta 20x3'!E:E)</f>
        <v>0</v>
      </c>
    </row>
    <row r="487" spans="1:12" ht="24" customHeight="1" outlineLevel="1" x14ac:dyDescent="0.2">
      <c r="A487" s="884">
        <v>470</v>
      </c>
      <c r="B487" s="881"/>
      <c r="C487" s="1530"/>
      <c r="D487" s="1531" t="s">
        <v>1733</v>
      </c>
      <c r="E487" s="1532"/>
      <c r="F487" s="1532"/>
      <c r="G487" s="1533"/>
      <c r="H487" s="1120">
        <f>+SUMIF('Sumaria renta 20x3'!G:G,'2516 20x3'!A487,'Sumaria renta 20x3'!C:C)</f>
        <v>0</v>
      </c>
      <c r="I487" s="1118"/>
      <c r="J487" s="842">
        <f t="shared" si="155"/>
        <v>0</v>
      </c>
      <c r="K487" s="842">
        <f t="shared" si="156"/>
        <v>0</v>
      </c>
      <c r="L487" s="842">
        <f>+SUMIF('Sumaria renta 20x3'!G:G,'2516 20x3'!A487,'Sumaria renta 20x3'!E:E)</f>
        <v>0</v>
      </c>
    </row>
    <row r="488" spans="1:12" ht="23.25" customHeight="1" outlineLevel="1" x14ac:dyDescent="0.2">
      <c r="A488" s="884">
        <v>471</v>
      </c>
      <c r="B488" s="881"/>
      <c r="C488" s="1529"/>
      <c r="D488" s="1531" t="s">
        <v>1734</v>
      </c>
      <c r="E488" s="1532"/>
      <c r="F488" s="1532"/>
      <c r="G488" s="1533"/>
      <c r="H488" s="1120">
        <f>+SUMIF('Sumaria renta 20x3'!G:G,'2516 20x3'!A488,'Sumaria renta 20x3'!C:C)</f>
        <v>0</v>
      </c>
      <c r="I488" s="1118"/>
      <c r="J488" s="842">
        <f t="shared" si="155"/>
        <v>0</v>
      </c>
      <c r="K488" s="842">
        <f t="shared" si="156"/>
        <v>0</v>
      </c>
      <c r="L488" s="842">
        <f>+SUMIF('Sumaria renta 20x3'!G:G,'2516 20x3'!A488,'Sumaria renta 20x3'!E:E)</f>
        <v>0</v>
      </c>
    </row>
    <row r="489" spans="1:12" outlineLevel="1" x14ac:dyDescent="0.2">
      <c r="A489" s="884">
        <v>472</v>
      </c>
      <c r="B489" s="881"/>
      <c r="D489" s="1531" t="s">
        <v>1681</v>
      </c>
      <c r="E489" s="1532"/>
      <c r="F489" s="1532"/>
      <c r="G489" s="1533"/>
      <c r="H489" s="1120">
        <f>+SUMIF('Sumaria renta 20x3'!G:G,'2516 20x3'!A489,'Sumaria renta 20x3'!C:C)</f>
        <v>0</v>
      </c>
      <c r="I489" s="1118"/>
      <c r="J489" s="842">
        <f t="shared" si="155"/>
        <v>0</v>
      </c>
      <c r="K489" s="842">
        <f t="shared" si="156"/>
        <v>0</v>
      </c>
      <c r="L489" s="842">
        <f>+SUMIF('Sumaria renta 20x3'!G:G,'2516 20x3'!A489,'Sumaria renta 20x3'!E:E)</f>
        <v>0</v>
      </c>
    </row>
    <row r="490" spans="1:12" outlineLevel="1" x14ac:dyDescent="0.2">
      <c r="A490" s="880">
        <v>473</v>
      </c>
      <c r="B490" s="881"/>
      <c r="D490" s="1534" t="s">
        <v>1201</v>
      </c>
      <c r="E490" s="1535"/>
      <c r="F490" s="1535"/>
      <c r="G490" s="1536"/>
      <c r="H490" s="1139">
        <f>+H491+H496+H520</f>
        <v>0</v>
      </c>
      <c r="I490" s="1139">
        <f t="shared" ref="I490:L490" si="157">+I491+I496+I520</f>
        <v>0</v>
      </c>
      <c r="J490" s="1139">
        <f t="shared" si="157"/>
        <v>0</v>
      </c>
      <c r="K490" s="1139">
        <f t="shared" si="157"/>
        <v>0</v>
      </c>
      <c r="L490" s="1139">
        <f t="shared" si="157"/>
        <v>0</v>
      </c>
    </row>
    <row r="491" spans="1:12" outlineLevel="1" x14ac:dyDescent="0.2">
      <c r="A491" s="880">
        <v>474</v>
      </c>
      <c r="B491" s="881"/>
      <c r="D491" s="1534" t="s">
        <v>1716</v>
      </c>
      <c r="E491" s="1535"/>
      <c r="F491" s="1535"/>
      <c r="G491" s="1536"/>
      <c r="H491" s="1136">
        <f>+SUM(H492:H495)</f>
        <v>0</v>
      </c>
      <c r="I491" s="1136">
        <f t="shared" ref="I491:L491" si="158">+SUM(I492:I495)</f>
        <v>0</v>
      </c>
      <c r="J491" s="1136">
        <f t="shared" si="158"/>
        <v>0</v>
      </c>
      <c r="K491" s="1136">
        <f t="shared" si="158"/>
        <v>0</v>
      </c>
      <c r="L491" s="1136">
        <f t="shared" si="158"/>
        <v>0</v>
      </c>
    </row>
    <row r="492" spans="1:12" outlineLevel="1" x14ac:dyDescent="0.2">
      <c r="A492" s="884">
        <v>475</v>
      </c>
      <c r="B492" s="881"/>
      <c r="C492" s="1528" t="s">
        <v>1717</v>
      </c>
      <c r="D492" s="1531" t="s">
        <v>1546</v>
      </c>
      <c r="E492" s="1532"/>
      <c r="F492" s="1532"/>
      <c r="G492" s="1533"/>
      <c r="H492" s="1120">
        <f>+SUMIF('Sumaria renta 20x3'!G:G,'2516 20x3'!A492,'Sumaria renta 20x3'!C:C)</f>
        <v>0</v>
      </c>
      <c r="I492" s="1118"/>
      <c r="J492" s="842">
        <f t="shared" ref="J492:J495" si="159">+IF((H492&gt;L492),(H492-L492),0)</f>
        <v>0</v>
      </c>
      <c r="K492" s="842">
        <f t="shared" ref="K492:K495" si="160">+IF((H492&lt;L492),(L492-H492),0)</f>
        <v>0</v>
      </c>
      <c r="L492" s="842">
        <f>+SUMIF('Sumaria renta 20x3'!G:G,'2516 20x3'!A492,'Sumaria renta 20x3'!E:E)</f>
        <v>0</v>
      </c>
    </row>
    <row r="493" spans="1:12" outlineLevel="1" x14ac:dyDescent="0.2">
      <c r="A493" s="884">
        <v>476</v>
      </c>
      <c r="B493" s="881"/>
      <c r="C493" s="1530"/>
      <c r="D493" s="1531" t="s">
        <v>1547</v>
      </c>
      <c r="E493" s="1532"/>
      <c r="F493" s="1532"/>
      <c r="G493" s="1533"/>
      <c r="H493" s="1120">
        <f>+SUMIF('Sumaria renta 20x3'!G:G,'2516 20x3'!A493,'Sumaria renta 20x3'!C:C)</f>
        <v>0</v>
      </c>
      <c r="I493" s="1118"/>
      <c r="J493" s="842">
        <f t="shared" si="159"/>
        <v>0</v>
      </c>
      <c r="K493" s="842">
        <f t="shared" si="160"/>
        <v>0</v>
      </c>
      <c r="L493" s="842">
        <f>+SUMIF('Sumaria renta 20x3'!G:G,'2516 20x3'!A493,'Sumaria renta 20x3'!E:E)</f>
        <v>0</v>
      </c>
    </row>
    <row r="494" spans="1:12" outlineLevel="1" x14ac:dyDescent="0.2">
      <c r="A494" s="884">
        <v>477</v>
      </c>
      <c r="B494" s="881"/>
      <c r="C494" s="1530"/>
      <c r="D494" s="1531" t="s">
        <v>1718</v>
      </c>
      <c r="E494" s="1532"/>
      <c r="F494" s="1532"/>
      <c r="G494" s="1533"/>
      <c r="H494" s="1120">
        <f>+SUMIF('Sumaria renta 20x3'!G:G,'2516 20x3'!A494,'Sumaria renta 20x3'!C:C)</f>
        <v>0</v>
      </c>
      <c r="I494" s="1118"/>
      <c r="J494" s="842">
        <f t="shared" si="159"/>
        <v>0</v>
      </c>
      <c r="K494" s="842">
        <f t="shared" si="160"/>
        <v>0</v>
      </c>
      <c r="L494" s="842">
        <f>+SUMIF('Sumaria renta 20x3'!G:G,'2516 20x3'!A494,'Sumaria renta 20x3'!E:E)</f>
        <v>0</v>
      </c>
    </row>
    <row r="495" spans="1:12" outlineLevel="1" x14ac:dyDescent="0.2">
      <c r="A495" s="884">
        <v>478</v>
      </c>
      <c r="B495" s="881"/>
      <c r="C495" s="1529"/>
      <c r="D495" s="1531" t="s">
        <v>1719</v>
      </c>
      <c r="E495" s="1532"/>
      <c r="F495" s="1532"/>
      <c r="G495" s="1533"/>
      <c r="H495" s="1120">
        <f>+SUMIF('Sumaria renta 20x3'!G:G,'2516 20x3'!A495,'Sumaria renta 20x3'!C:C)</f>
        <v>0</v>
      </c>
      <c r="I495" s="1118"/>
      <c r="J495" s="842">
        <f t="shared" si="159"/>
        <v>0</v>
      </c>
      <c r="K495" s="842">
        <f t="shared" si="160"/>
        <v>0</v>
      </c>
      <c r="L495" s="842">
        <f>+SUMIF('Sumaria renta 20x3'!G:G,'2516 20x3'!A495,'Sumaria renta 20x3'!E:E)</f>
        <v>0</v>
      </c>
    </row>
    <row r="496" spans="1:12" outlineLevel="1" x14ac:dyDescent="0.2">
      <c r="A496" s="880">
        <v>479</v>
      </c>
      <c r="B496" s="881"/>
      <c r="D496" s="1534" t="s">
        <v>1756</v>
      </c>
      <c r="E496" s="1535"/>
      <c r="F496" s="1535"/>
      <c r="G496" s="1536"/>
      <c r="H496" s="890">
        <f>+SUM(H497:H519)</f>
        <v>0</v>
      </c>
      <c r="I496" s="890">
        <f t="shared" ref="I496:L496" si="161">+SUM(I497:I519)</f>
        <v>0</v>
      </c>
      <c r="J496" s="890">
        <f t="shared" si="161"/>
        <v>0</v>
      </c>
      <c r="K496" s="890">
        <f t="shared" si="161"/>
        <v>0</v>
      </c>
      <c r="L496" s="890">
        <f t="shared" si="161"/>
        <v>0</v>
      </c>
    </row>
    <row r="497" spans="1:12" ht="24.75" customHeight="1" outlineLevel="1" x14ac:dyDescent="0.2">
      <c r="A497" s="884">
        <v>480</v>
      </c>
      <c r="B497" s="881"/>
      <c r="D497" s="1531" t="s">
        <v>1747</v>
      </c>
      <c r="E497" s="1532"/>
      <c r="F497" s="1532"/>
      <c r="G497" s="1533"/>
      <c r="H497" s="1120">
        <f>+SUMIF('Sumaria renta 20x3'!G:G,'2516 20x3'!A497,'Sumaria renta 20x3'!C:C)</f>
        <v>0</v>
      </c>
      <c r="I497" s="1118"/>
      <c r="J497" s="842">
        <f t="shared" ref="J497:J519" si="162">+IF((H497&gt;L497),(H497-L497),0)</f>
        <v>0</v>
      </c>
      <c r="K497" s="842">
        <f t="shared" ref="K497:K519" si="163">+IF((H497&lt;L497),(L497-H497),0)</f>
        <v>0</v>
      </c>
      <c r="L497" s="842">
        <f>+SUMIF('Sumaria renta 20x3'!G:G,'2516 20x3'!A497,'Sumaria renta 20x3'!E:E)</f>
        <v>0</v>
      </c>
    </row>
    <row r="498" spans="1:12" outlineLevel="1" x14ac:dyDescent="0.2">
      <c r="A498" s="884">
        <v>481</v>
      </c>
      <c r="B498" s="881"/>
      <c r="D498" s="1531" t="s">
        <v>1641</v>
      </c>
      <c r="E498" s="1532"/>
      <c r="F498" s="1532"/>
      <c r="G498" s="1533"/>
      <c r="H498" s="1120">
        <f>+SUMIF('Sumaria renta 20x3'!G:G,'2516 20x3'!A498,'Sumaria renta 20x3'!C:C)</f>
        <v>0</v>
      </c>
      <c r="I498" s="1118"/>
      <c r="J498" s="842">
        <f t="shared" si="162"/>
        <v>0</v>
      </c>
      <c r="K498" s="842">
        <f t="shared" si="163"/>
        <v>0</v>
      </c>
      <c r="L498" s="842">
        <f>+SUMIF('Sumaria renta 20x3'!G:G,'2516 20x3'!A498,'Sumaria renta 20x3'!E:E)</f>
        <v>0</v>
      </c>
    </row>
    <row r="499" spans="1:12" outlineLevel="1" x14ac:dyDescent="0.2">
      <c r="A499" s="884">
        <v>482</v>
      </c>
      <c r="B499" s="881"/>
      <c r="D499" s="1531" t="s">
        <v>709</v>
      </c>
      <c r="E499" s="1532"/>
      <c r="F499" s="1532"/>
      <c r="G499" s="1533"/>
      <c r="H499" s="1120">
        <f>+SUMIF('Sumaria renta 20x3'!G:G,'2516 20x3'!A499,'Sumaria renta 20x3'!C:C)</f>
        <v>0</v>
      </c>
      <c r="I499" s="1118"/>
      <c r="J499" s="842">
        <f t="shared" si="162"/>
        <v>0</v>
      </c>
      <c r="K499" s="842">
        <f t="shared" si="163"/>
        <v>0</v>
      </c>
      <c r="L499" s="842">
        <f>+SUMIF('Sumaria renta 20x3'!G:G,'2516 20x3'!A499,'Sumaria renta 20x3'!E:E)</f>
        <v>0</v>
      </c>
    </row>
    <row r="500" spans="1:12" outlineLevel="1" x14ac:dyDescent="0.2">
      <c r="A500" s="884">
        <v>483</v>
      </c>
      <c r="B500" s="881"/>
      <c r="D500" s="1531" t="s">
        <v>707</v>
      </c>
      <c r="E500" s="1532"/>
      <c r="F500" s="1532"/>
      <c r="G500" s="1533"/>
      <c r="H500" s="1120">
        <f>+SUMIF('Sumaria renta 20x3'!G:G,'2516 20x3'!A500,'Sumaria renta 20x3'!C:C)</f>
        <v>0</v>
      </c>
      <c r="I500" s="1118"/>
      <c r="J500" s="842">
        <f t="shared" si="162"/>
        <v>0</v>
      </c>
      <c r="K500" s="842">
        <f t="shared" si="163"/>
        <v>0</v>
      </c>
      <c r="L500" s="842">
        <f>+SUMIF('Sumaria renta 20x3'!G:G,'2516 20x3'!A500,'Sumaria renta 20x3'!E:E)</f>
        <v>0</v>
      </c>
    </row>
    <row r="501" spans="1:12" outlineLevel="1" x14ac:dyDescent="0.2">
      <c r="A501" s="884">
        <v>484</v>
      </c>
      <c r="B501" s="881"/>
      <c r="D501" s="1531" t="s">
        <v>710</v>
      </c>
      <c r="E501" s="1532"/>
      <c r="F501" s="1532"/>
      <c r="G501" s="1533"/>
      <c r="H501" s="1120">
        <f>+SUMIF('Sumaria renta 20x3'!G:G,'2516 20x3'!A501,'Sumaria renta 20x3'!C:C)</f>
        <v>0</v>
      </c>
      <c r="I501" s="1118"/>
      <c r="J501" s="842">
        <f t="shared" si="162"/>
        <v>0</v>
      </c>
      <c r="K501" s="842">
        <f t="shared" si="163"/>
        <v>0</v>
      </c>
      <c r="L501" s="842">
        <f>+SUMIF('Sumaria renta 20x3'!G:G,'2516 20x3'!A501,'Sumaria renta 20x3'!E:E)</f>
        <v>0</v>
      </c>
    </row>
    <row r="502" spans="1:12" outlineLevel="1" x14ac:dyDescent="0.2">
      <c r="A502" s="884">
        <v>485</v>
      </c>
      <c r="B502" s="881"/>
      <c r="C502" s="1528" t="s">
        <v>1748</v>
      </c>
      <c r="D502" s="1531" t="s">
        <v>1737</v>
      </c>
      <c r="E502" s="1532"/>
      <c r="F502" s="1532"/>
      <c r="G502" s="1533"/>
      <c r="H502" s="1120">
        <f>+SUMIF('Sumaria renta 20x3'!G:G,'2516 20x3'!A502,'Sumaria renta 20x3'!C:C)</f>
        <v>0</v>
      </c>
      <c r="I502" s="1118"/>
      <c r="J502" s="842">
        <f t="shared" si="162"/>
        <v>0</v>
      </c>
      <c r="K502" s="842">
        <f t="shared" si="163"/>
        <v>0</v>
      </c>
      <c r="L502" s="842">
        <f>+SUMIF('Sumaria renta 20x3'!G:G,'2516 20x3'!A502,'Sumaria renta 20x3'!E:E)</f>
        <v>0</v>
      </c>
    </row>
    <row r="503" spans="1:12" ht="24.75" customHeight="1" outlineLevel="1" x14ac:dyDescent="0.2">
      <c r="A503" s="884">
        <v>486</v>
      </c>
      <c r="B503" s="881"/>
      <c r="C503" s="1530"/>
      <c r="D503" s="1531" t="s">
        <v>1638</v>
      </c>
      <c r="E503" s="1532"/>
      <c r="F503" s="1532"/>
      <c r="G503" s="1533"/>
      <c r="H503" s="1120">
        <f>+SUMIF('Sumaria renta 20x3'!G:G,'2516 20x3'!A503,'Sumaria renta 20x3'!C:C)</f>
        <v>0</v>
      </c>
      <c r="I503" s="1118"/>
      <c r="J503" s="842">
        <f t="shared" si="162"/>
        <v>0</v>
      </c>
      <c r="K503" s="842">
        <f t="shared" si="163"/>
        <v>0</v>
      </c>
      <c r="L503" s="842">
        <f>+SUMIF('Sumaria renta 20x3'!G:G,'2516 20x3'!A503,'Sumaria renta 20x3'!E:E)</f>
        <v>0</v>
      </c>
    </row>
    <row r="504" spans="1:12" outlineLevel="1" x14ac:dyDescent="0.2">
      <c r="A504" s="884">
        <v>487</v>
      </c>
      <c r="B504" s="881"/>
      <c r="C504" s="1530"/>
      <c r="D504" s="1531" t="s">
        <v>1738</v>
      </c>
      <c r="E504" s="1532"/>
      <c r="F504" s="1532"/>
      <c r="G504" s="1533"/>
      <c r="H504" s="1120">
        <f>+SUMIF('Sumaria renta 20x3'!G:G,'2516 20x3'!A504,'Sumaria renta 20x3'!C:C)</f>
        <v>0</v>
      </c>
      <c r="I504" s="1118"/>
      <c r="J504" s="842">
        <f t="shared" si="162"/>
        <v>0</v>
      </c>
      <c r="K504" s="842">
        <f t="shared" si="163"/>
        <v>0</v>
      </c>
      <c r="L504" s="842">
        <f>+SUMIF('Sumaria renta 20x3'!G:G,'2516 20x3'!A504,'Sumaria renta 20x3'!E:E)</f>
        <v>0</v>
      </c>
    </row>
    <row r="505" spans="1:12" outlineLevel="1" x14ac:dyDescent="0.2">
      <c r="A505" s="884">
        <v>488</v>
      </c>
      <c r="B505" s="881"/>
      <c r="C505" s="1528" t="s">
        <v>1642</v>
      </c>
      <c r="D505" s="1531" t="s">
        <v>1737</v>
      </c>
      <c r="E505" s="1532"/>
      <c r="F505" s="1532"/>
      <c r="G505" s="1533"/>
      <c r="H505" s="1120">
        <f>+SUMIF('Sumaria renta 20x3'!G:G,'2516 20x3'!A505,'Sumaria renta 20x3'!C:C)</f>
        <v>0</v>
      </c>
      <c r="I505" s="1118"/>
      <c r="J505" s="842">
        <f t="shared" si="162"/>
        <v>0</v>
      </c>
      <c r="K505" s="842">
        <f t="shared" si="163"/>
        <v>0</v>
      </c>
      <c r="L505" s="842">
        <f>+SUMIF('Sumaria renta 20x3'!G:G,'2516 20x3'!A505,'Sumaria renta 20x3'!E:E)</f>
        <v>0</v>
      </c>
    </row>
    <row r="506" spans="1:12" ht="26.25" customHeight="1" outlineLevel="1" x14ac:dyDescent="0.2">
      <c r="A506" s="884">
        <v>489</v>
      </c>
      <c r="B506" s="881"/>
      <c r="C506" s="1530"/>
      <c r="D506" s="1531" t="s">
        <v>1638</v>
      </c>
      <c r="E506" s="1532"/>
      <c r="F506" s="1532"/>
      <c r="G506" s="1533"/>
      <c r="H506" s="1120">
        <f>+SUMIF('Sumaria renta 20x3'!G:G,'2516 20x3'!A506,'Sumaria renta 20x3'!C:C)</f>
        <v>0</v>
      </c>
      <c r="I506" s="1118"/>
      <c r="J506" s="842">
        <f t="shared" si="162"/>
        <v>0</v>
      </c>
      <c r="K506" s="842">
        <f t="shared" si="163"/>
        <v>0</v>
      </c>
      <c r="L506" s="842">
        <f>+SUMIF('Sumaria renta 20x3'!G:G,'2516 20x3'!A506,'Sumaria renta 20x3'!E:E)</f>
        <v>0</v>
      </c>
    </row>
    <row r="507" spans="1:12" outlineLevel="1" x14ac:dyDescent="0.2">
      <c r="A507" s="884">
        <v>490</v>
      </c>
      <c r="B507" s="881"/>
      <c r="C507" s="1529"/>
      <c r="D507" s="1531" t="s">
        <v>1738</v>
      </c>
      <c r="E507" s="1532"/>
      <c r="F507" s="1532"/>
      <c r="G507" s="1533"/>
      <c r="H507" s="1120">
        <f>+SUMIF('Sumaria renta 20x3'!G:G,'2516 20x3'!A507,'Sumaria renta 20x3'!C:C)</f>
        <v>0</v>
      </c>
      <c r="I507" s="1118"/>
      <c r="J507" s="842">
        <f t="shared" si="162"/>
        <v>0</v>
      </c>
      <c r="K507" s="842">
        <f t="shared" si="163"/>
        <v>0</v>
      </c>
      <c r="L507" s="842">
        <f>+SUMIF('Sumaria renta 20x3'!G:G,'2516 20x3'!A507,'Sumaria renta 20x3'!E:E)</f>
        <v>0</v>
      </c>
    </row>
    <row r="508" spans="1:12" outlineLevel="1" x14ac:dyDescent="0.2">
      <c r="A508" s="884">
        <v>491</v>
      </c>
      <c r="B508" s="881"/>
      <c r="C508" s="1530" t="s">
        <v>1739</v>
      </c>
      <c r="D508" s="1531" t="s">
        <v>1737</v>
      </c>
      <c r="E508" s="1532"/>
      <c r="F508" s="1532"/>
      <c r="G508" s="1533"/>
      <c r="H508" s="1120">
        <f>+SUMIF('Sumaria renta 20x3'!G:G,'2516 20x3'!A508,'Sumaria renta 20x3'!C:C)</f>
        <v>0</v>
      </c>
      <c r="I508" s="1118"/>
      <c r="J508" s="842">
        <f t="shared" si="162"/>
        <v>0</v>
      </c>
      <c r="K508" s="842">
        <f t="shared" si="163"/>
        <v>0</v>
      </c>
      <c r="L508" s="842">
        <f>+SUMIF('Sumaria renta 20x3'!G:G,'2516 20x3'!A508,'Sumaria renta 20x3'!E:E)</f>
        <v>0</v>
      </c>
    </row>
    <row r="509" spans="1:12" ht="25.5" customHeight="1" outlineLevel="1" x14ac:dyDescent="0.2">
      <c r="A509" s="884">
        <v>492</v>
      </c>
      <c r="B509" s="881"/>
      <c r="C509" s="1530"/>
      <c r="D509" s="1531" t="s">
        <v>1638</v>
      </c>
      <c r="E509" s="1532"/>
      <c r="F509" s="1532"/>
      <c r="G509" s="1533"/>
      <c r="H509" s="1120">
        <f>+SUMIF('Sumaria renta 20x3'!G:G,'2516 20x3'!A509,'Sumaria renta 20x3'!C:C)</f>
        <v>0</v>
      </c>
      <c r="I509" s="1118"/>
      <c r="J509" s="842">
        <f t="shared" si="162"/>
        <v>0</v>
      </c>
      <c r="K509" s="842">
        <f t="shared" si="163"/>
        <v>0</v>
      </c>
      <c r="L509" s="842">
        <f>+SUMIF('Sumaria renta 20x3'!G:G,'2516 20x3'!A509,'Sumaria renta 20x3'!E:E)</f>
        <v>0</v>
      </c>
    </row>
    <row r="510" spans="1:12" outlineLevel="1" x14ac:dyDescent="0.2">
      <c r="A510" s="884">
        <v>493</v>
      </c>
      <c r="B510" s="881"/>
      <c r="C510" s="1529"/>
      <c r="D510" s="1531" t="s">
        <v>1738</v>
      </c>
      <c r="E510" s="1532"/>
      <c r="F510" s="1532"/>
      <c r="G510" s="1533"/>
      <c r="H510" s="1120">
        <f>+SUMIF('Sumaria renta 20x3'!G:G,'2516 20x3'!A510,'Sumaria renta 20x3'!C:C)</f>
        <v>0</v>
      </c>
      <c r="I510" s="1118"/>
      <c r="J510" s="842">
        <f t="shared" si="162"/>
        <v>0</v>
      </c>
      <c r="K510" s="842">
        <f t="shared" si="163"/>
        <v>0</v>
      </c>
      <c r="L510" s="842">
        <f>+SUMIF('Sumaria renta 20x3'!G:G,'2516 20x3'!A510,'Sumaria renta 20x3'!E:E)</f>
        <v>0</v>
      </c>
    </row>
    <row r="511" spans="1:12" outlineLevel="1" x14ac:dyDescent="0.2">
      <c r="A511" s="884">
        <v>494</v>
      </c>
      <c r="B511" s="881"/>
      <c r="D511" s="1531" t="s">
        <v>1749</v>
      </c>
      <c r="E511" s="1532"/>
      <c r="F511" s="1532"/>
      <c r="G511" s="1533"/>
      <c r="H511" s="1120">
        <f>+SUMIF('Sumaria renta 20x3'!G:G,'2516 20x3'!A511,'Sumaria renta 20x3'!C:C)</f>
        <v>0</v>
      </c>
      <c r="I511" s="1118"/>
      <c r="J511" s="842">
        <f t="shared" si="162"/>
        <v>0</v>
      </c>
      <c r="K511" s="842">
        <f t="shared" si="163"/>
        <v>0</v>
      </c>
      <c r="L511" s="842">
        <f>+SUMIF('Sumaria renta 20x3'!G:G,'2516 20x3'!A511,'Sumaria renta 20x3'!E:E)</f>
        <v>0</v>
      </c>
    </row>
    <row r="512" spans="1:12" outlineLevel="1" x14ac:dyDescent="0.2">
      <c r="A512" s="884">
        <v>495</v>
      </c>
      <c r="B512" s="881"/>
      <c r="D512" s="1531" t="s">
        <v>1750</v>
      </c>
      <c r="E512" s="1532"/>
      <c r="F512" s="1532"/>
      <c r="G512" s="1533"/>
      <c r="H512" s="1120">
        <f>+SUMIF('Sumaria renta 20x3'!G:G,'2516 20x3'!A512,'Sumaria renta 20x3'!C:C)</f>
        <v>0</v>
      </c>
      <c r="I512" s="1118"/>
      <c r="J512" s="842">
        <f t="shared" si="162"/>
        <v>0</v>
      </c>
      <c r="K512" s="842">
        <f t="shared" si="163"/>
        <v>0</v>
      </c>
      <c r="L512" s="842">
        <f>+SUMIF('Sumaria renta 20x3'!G:G,'2516 20x3'!A512,'Sumaria renta 20x3'!E:E)</f>
        <v>0</v>
      </c>
    </row>
    <row r="513" spans="1:12" outlineLevel="1" x14ac:dyDescent="0.2">
      <c r="A513" s="884">
        <v>496</v>
      </c>
      <c r="B513" s="881"/>
      <c r="D513" s="1531" t="s">
        <v>222</v>
      </c>
      <c r="E513" s="1532"/>
      <c r="F513" s="1532"/>
      <c r="G513" s="1533"/>
      <c r="H513" s="1120">
        <f>+SUMIF('Sumaria renta 20x3'!G:G,'2516 20x3'!A513,'Sumaria renta 20x3'!C:C)</f>
        <v>0</v>
      </c>
      <c r="I513" s="1118"/>
      <c r="J513" s="842">
        <f t="shared" si="162"/>
        <v>0</v>
      </c>
      <c r="K513" s="842">
        <f t="shared" si="163"/>
        <v>0</v>
      </c>
      <c r="L513" s="842">
        <f>+SUMIF('Sumaria renta 20x3'!G:G,'2516 20x3'!A513,'Sumaria renta 20x3'!E:E)</f>
        <v>0</v>
      </c>
    </row>
    <row r="514" spans="1:12" ht="24" customHeight="1" outlineLevel="1" x14ac:dyDescent="0.2">
      <c r="A514" s="884">
        <v>497</v>
      </c>
      <c r="B514" s="881"/>
      <c r="D514" s="1531" t="s">
        <v>1751</v>
      </c>
      <c r="E514" s="1532"/>
      <c r="F514" s="1532"/>
      <c r="G514" s="1533"/>
      <c r="H514" s="1120">
        <f>+SUMIF('Sumaria renta 20x3'!G:G,'2516 20x3'!A514,'Sumaria renta 20x3'!C:C)</f>
        <v>0</v>
      </c>
      <c r="I514" s="1118"/>
      <c r="J514" s="842">
        <f t="shared" si="162"/>
        <v>0</v>
      </c>
      <c r="K514" s="842">
        <f t="shared" si="163"/>
        <v>0</v>
      </c>
      <c r="L514" s="842">
        <f>+SUMIF('Sumaria renta 20x3'!G:G,'2516 20x3'!A514,'Sumaria renta 20x3'!E:E)</f>
        <v>0</v>
      </c>
    </row>
    <row r="515" spans="1:12" outlineLevel="1" x14ac:dyDescent="0.2">
      <c r="A515" s="884">
        <v>498</v>
      </c>
      <c r="B515" s="881"/>
      <c r="D515" s="1531" t="s">
        <v>1752</v>
      </c>
      <c r="E515" s="1532"/>
      <c r="F515" s="1532"/>
      <c r="G515" s="1533"/>
      <c r="H515" s="1120">
        <f>+SUMIF('Sumaria renta 20x3'!G:G,'2516 20x3'!A515,'Sumaria renta 20x3'!C:C)</f>
        <v>0</v>
      </c>
      <c r="I515" s="1118"/>
      <c r="J515" s="842">
        <f t="shared" si="162"/>
        <v>0</v>
      </c>
      <c r="K515" s="842">
        <f t="shared" si="163"/>
        <v>0</v>
      </c>
      <c r="L515" s="842">
        <f>+SUMIF('Sumaria renta 20x3'!G:G,'2516 20x3'!A515,'Sumaria renta 20x3'!E:E)</f>
        <v>0</v>
      </c>
    </row>
    <row r="516" spans="1:12" outlineLevel="1" x14ac:dyDescent="0.2">
      <c r="A516" s="884">
        <v>499</v>
      </c>
      <c r="B516" s="881"/>
      <c r="D516" s="1531" t="s">
        <v>1757</v>
      </c>
      <c r="E516" s="1532"/>
      <c r="F516" s="1532"/>
      <c r="G516" s="1533"/>
      <c r="H516" s="1120">
        <f>+SUMIF('Sumaria renta 20x3'!G:G,'2516 20x3'!A516,'Sumaria renta 20x3'!C:C)</f>
        <v>0</v>
      </c>
      <c r="I516" s="1118"/>
      <c r="J516" s="842">
        <f t="shared" si="162"/>
        <v>0</v>
      </c>
      <c r="K516" s="842">
        <f t="shared" si="163"/>
        <v>0</v>
      </c>
      <c r="L516" s="842">
        <f>+SUMIF('Sumaria renta 20x3'!G:G,'2516 20x3'!A516,'Sumaria renta 20x3'!E:E)</f>
        <v>0</v>
      </c>
    </row>
    <row r="517" spans="1:12" outlineLevel="1" x14ac:dyDescent="0.2">
      <c r="A517" s="884">
        <v>500</v>
      </c>
      <c r="B517" s="881"/>
      <c r="D517" s="1531" t="s">
        <v>1758</v>
      </c>
      <c r="E517" s="1532"/>
      <c r="F517" s="1532"/>
      <c r="G517" s="1533"/>
      <c r="H517" s="1120">
        <f>+SUMIF('Sumaria renta 20x3'!G:G,'2516 20x3'!A517,'Sumaria renta 20x3'!C:C)</f>
        <v>0</v>
      </c>
      <c r="I517" s="1118"/>
      <c r="J517" s="842">
        <f t="shared" si="162"/>
        <v>0</v>
      </c>
      <c r="K517" s="842">
        <f t="shared" si="163"/>
        <v>0</v>
      </c>
      <c r="L517" s="842">
        <f>+SUMIF('Sumaria renta 20x3'!G:G,'2516 20x3'!A517,'Sumaria renta 20x3'!E:E)</f>
        <v>0</v>
      </c>
    </row>
    <row r="518" spans="1:12" outlineLevel="1" x14ac:dyDescent="0.2">
      <c r="A518" s="884">
        <v>501</v>
      </c>
      <c r="B518" s="881"/>
      <c r="D518" s="1531" t="s">
        <v>1759</v>
      </c>
      <c r="E518" s="1532"/>
      <c r="F518" s="1532"/>
      <c r="G518" s="1533"/>
      <c r="H518" s="1120">
        <f>+SUMIF('Sumaria renta 20x3'!G:G,'2516 20x3'!A518,'Sumaria renta 20x3'!C:C)</f>
        <v>0</v>
      </c>
      <c r="I518" s="1118"/>
      <c r="J518" s="842">
        <f t="shared" si="162"/>
        <v>0</v>
      </c>
      <c r="K518" s="842">
        <f t="shared" si="163"/>
        <v>0</v>
      </c>
      <c r="L518" s="842">
        <f>+SUMIF('Sumaria renta 20x3'!G:G,'2516 20x3'!A518,'Sumaria renta 20x3'!E:E)</f>
        <v>0</v>
      </c>
    </row>
    <row r="519" spans="1:12" outlineLevel="1" x14ac:dyDescent="0.2">
      <c r="A519" s="884">
        <v>502</v>
      </c>
      <c r="B519" s="881"/>
      <c r="D519" s="1531" t="s">
        <v>1760</v>
      </c>
      <c r="E519" s="1532"/>
      <c r="F519" s="1532"/>
      <c r="G519" s="1533"/>
      <c r="H519" s="1120">
        <f>+SUMIF('Sumaria renta 20x3'!G:G,'2516 20x3'!A519,'Sumaria renta 20x3'!C:C)</f>
        <v>0</v>
      </c>
      <c r="I519" s="1118"/>
      <c r="J519" s="842">
        <f t="shared" si="162"/>
        <v>0</v>
      </c>
      <c r="K519" s="842">
        <f t="shared" si="163"/>
        <v>0</v>
      </c>
      <c r="L519" s="842">
        <f>+SUMIF('Sumaria renta 20x3'!G:G,'2516 20x3'!A519,'Sumaria renta 20x3'!E:E)</f>
        <v>0</v>
      </c>
    </row>
    <row r="520" spans="1:12" outlineLevel="1" x14ac:dyDescent="0.2">
      <c r="A520" s="880">
        <v>503</v>
      </c>
      <c r="B520" s="881"/>
      <c r="D520" s="1534" t="s">
        <v>1720</v>
      </c>
      <c r="E520" s="1535"/>
      <c r="F520" s="1535"/>
      <c r="G520" s="1536"/>
      <c r="H520" s="1136">
        <f>+SUM(H521:H544)</f>
        <v>0</v>
      </c>
      <c r="I520" s="1136">
        <f t="shared" ref="I520:L520" si="164">+SUM(I521:I544)</f>
        <v>0</v>
      </c>
      <c r="J520" s="1136">
        <f t="shared" si="164"/>
        <v>0</v>
      </c>
      <c r="K520" s="1136">
        <f t="shared" si="164"/>
        <v>0</v>
      </c>
      <c r="L520" s="1136">
        <f t="shared" si="164"/>
        <v>0</v>
      </c>
    </row>
    <row r="521" spans="1:12" outlineLevel="1" x14ac:dyDescent="0.2">
      <c r="A521" s="884">
        <v>504</v>
      </c>
      <c r="B521" s="881"/>
      <c r="C521" s="1528" t="s">
        <v>1721</v>
      </c>
      <c r="D521" s="1531" t="s">
        <v>1725</v>
      </c>
      <c r="E521" s="1532"/>
      <c r="F521" s="1532"/>
      <c r="G521" s="1533"/>
      <c r="H521" s="1120">
        <f>+SUMIF('Sumaria renta 20x3'!G:G,'2516 20x3'!A521,'Sumaria renta 20x3'!C:C)</f>
        <v>0</v>
      </c>
      <c r="I521" s="1118"/>
      <c r="J521" s="842">
        <f t="shared" ref="J521:J544" si="165">+IF((H521&gt;L521),(H521-L521),0)</f>
        <v>0</v>
      </c>
      <c r="K521" s="842">
        <f t="shared" ref="K521:K544" si="166">+IF((H521&lt;L521),(L521-H521),0)</f>
        <v>0</v>
      </c>
      <c r="L521" s="842">
        <f>+SUMIF('Sumaria renta 20x3'!G:G,'2516 20x3'!A521,'Sumaria renta 20x3'!E:E)</f>
        <v>0</v>
      </c>
    </row>
    <row r="522" spans="1:12" outlineLevel="1" x14ac:dyDescent="0.2">
      <c r="A522" s="884">
        <v>505</v>
      </c>
      <c r="B522" s="881"/>
      <c r="C522" s="1530"/>
      <c r="D522" s="1531" t="s">
        <v>1723</v>
      </c>
      <c r="E522" s="1532"/>
      <c r="F522" s="1532"/>
      <c r="G522" s="1533"/>
      <c r="H522" s="1120">
        <f>+SUMIF('Sumaria renta 20x3'!G:G,'2516 20x3'!A522,'Sumaria renta 20x3'!C:C)</f>
        <v>0</v>
      </c>
      <c r="I522" s="1118"/>
      <c r="J522" s="842">
        <f t="shared" si="165"/>
        <v>0</v>
      </c>
      <c r="K522" s="842">
        <f t="shared" si="166"/>
        <v>0</v>
      </c>
      <c r="L522" s="842">
        <f>+SUMIF('Sumaria renta 20x3'!G:G,'2516 20x3'!A522,'Sumaria renta 20x3'!E:E)</f>
        <v>0</v>
      </c>
    </row>
    <row r="523" spans="1:12" outlineLevel="1" x14ac:dyDescent="0.2">
      <c r="A523" s="884">
        <v>506</v>
      </c>
      <c r="B523" s="881"/>
      <c r="C523" s="1528" t="s">
        <v>1724</v>
      </c>
      <c r="D523" s="1531" t="s">
        <v>1725</v>
      </c>
      <c r="E523" s="1532"/>
      <c r="F523" s="1532"/>
      <c r="G523" s="1533"/>
      <c r="H523" s="1120">
        <f>+SUMIF('Sumaria renta 20x3'!G:G,'2516 20x3'!A523,'Sumaria renta 20x3'!C:C)</f>
        <v>0</v>
      </c>
      <c r="I523" s="1118"/>
      <c r="J523" s="842">
        <f t="shared" si="165"/>
        <v>0</v>
      </c>
      <c r="K523" s="842">
        <f t="shared" si="166"/>
        <v>0</v>
      </c>
      <c r="L523" s="842">
        <f>+SUMIF('Sumaria renta 20x3'!G:G,'2516 20x3'!A523,'Sumaria renta 20x3'!E:E)</f>
        <v>0</v>
      </c>
    </row>
    <row r="524" spans="1:12" outlineLevel="1" x14ac:dyDescent="0.2">
      <c r="A524" s="884">
        <v>507</v>
      </c>
      <c r="B524" s="881"/>
      <c r="C524" s="1529"/>
      <c r="D524" s="1531" t="s">
        <v>1723</v>
      </c>
      <c r="E524" s="1532"/>
      <c r="F524" s="1532"/>
      <c r="G524" s="1533"/>
      <c r="H524" s="1120">
        <f>+SUMIF('Sumaria renta 20x3'!G:G,'2516 20x3'!A524,'Sumaria renta 20x3'!C:C)</f>
        <v>0</v>
      </c>
      <c r="I524" s="1118"/>
      <c r="J524" s="842">
        <f t="shared" si="165"/>
        <v>0</v>
      </c>
      <c r="K524" s="842">
        <f t="shared" si="166"/>
        <v>0</v>
      </c>
      <c r="L524" s="842">
        <f>+SUMIF('Sumaria renta 20x3'!G:G,'2516 20x3'!A524,'Sumaria renta 20x3'!E:E)</f>
        <v>0</v>
      </c>
    </row>
    <row r="525" spans="1:12" outlineLevel="1" x14ac:dyDescent="0.2">
      <c r="A525" s="884">
        <v>508</v>
      </c>
      <c r="B525" s="881"/>
      <c r="C525" s="1530" t="s">
        <v>1726</v>
      </c>
      <c r="D525" s="1531" t="s">
        <v>1725</v>
      </c>
      <c r="E525" s="1532"/>
      <c r="F525" s="1532"/>
      <c r="G525" s="1533"/>
      <c r="H525" s="1120">
        <f>+SUMIF('Sumaria renta 20x3'!G:G,'2516 20x3'!A525,'Sumaria renta 20x3'!C:C)</f>
        <v>0</v>
      </c>
      <c r="I525" s="1118"/>
      <c r="J525" s="842">
        <f t="shared" si="165"/>
        <v>0</v>
      </c>
      <c r="K525" s="842">
        <f t="shared" si="166"/>
        <v>0</v>
      </c>
      <c r="L525" s="842">
        <f>+SUMIF('Sumaria renta 20x3'!G:G,'2516 20x3'!A525,'Sumaria renta 20x3'!E:E)</f>
        <v>0</v>
      </c>
    </row>
    <row r="526" spans="1:12" outlineLevel="1" x14ac:dyDescent="0.2">
      <c r="A526" s="884">
        <v>509</v>
      </c>
      <c r="B526" s="881"/>
      <c r="C526" s="1530"/>
      <c r="D526" s="1531" t="s">
        <v>1723</v>
      </c>
      <c r="E526" s="1532"/>
      <c r="F526" s="1532"/>
      <c r="G526" s="1533"/>
      <c r="H526" s="1120">
        <f>+SUMIF('Sumaria renta 20x3'!G:G,'2516 20x3'!A526,'Sumaria renta 20x3'!C:C)</f>
        <v>0</v>
      </c>
      <c r="I526" s="1118"/>
      <c r="J526" s="842">
        <f t="shared" si="165"/>
        <v>0</v>
      </c>
      <c r="K526" s="842">
        <f t="shared" si="166"/>
        <v>0</v>
      </c>
      <c r="L526" s="842">
        <f>+SUMIF('Sumaria renta 20x3'!G:G,'2516 20x3'!A526,'Sumaria renta 20x3'!E:E)</f>
        <v>0</v>
      </c>
    </row>
    <row r="527" spans="1:12" outlineLevel="1" x14ac:dyDescent="0.2">
      <c r="A527" s="884">
        <v>510</v>
      </c>
      <c r="B527" s="881"/>
      <c r="C527" s="1530" t="s">
        <v>1727</v>
      </c>
      <c r="D527" s="1531" t="s">
        <v>1725</v>
      </c>
      <c r="E527" s="1532"/>
      <c r="F527" s="1532"/>
      <c r="G527" s="1533"/>
      <c r="H527" s="1120">
        <f>+SUMIF('Sumaria renta 20x3'!G:G,'2516 20x3'!A527,'Sumaria renta 20x3'!C:C)</f>
        <v>0</v>
      </c>
      <c r="I527" s="1118"/>
      <c r="J527" s="842">
        <f t="shared" si="165"/>
        <v>0</v>
      </c>
      <c r="K527" s="842">
        <f t="shared" si="166"/>
        <v>0</v>
      </c>
      <c r="L527" s="842">
        <f>+SUMIF('Sumaria renta 20x3'!G:G,'2516 20x3'!A527,'Sumaria renta 20x3'!E:E)</f>
        <v>0</v>
      </c>
    </row>
    <row r="528" spans="1:12" outlineLevel="1" x14ac:dyDescent="0.2">
      <c r="A528" s="884">
        <v>511</v>
      </c>
      <c r="B528" s="881"/>
      <c r="C528" s="1529"/>
      <c r="D528" s="1531" t="s">
        <v>1723</v>
      </c>
      <c r="E528" s="1532"/>
      <c r="F528" s="1532"/>
      <c r="G528" s="1533"/>
      <c r="H528" s="1120">
        <f>+SUMIF('Sumaria renta 20x3'!G:G,'2516 20x3'!A528,'Sumaria renta 20x3'!C:C)</f>
        <v>0</v>
      </c>
      <c r="I528" s="1118"/>
      <c r="J528" s="842">
        <f t="shared" si="165"/>
        <v>0</v>
      </c>
      <c r="K528" s="842">
        <f t="shared" si="166"/>
        <v>0</v>
      </c>
      <c r="L528" s="842">
        <f>+SUMIF('Sumaria renta 20x3'!G:G,'2516 20x3'!A528,'Sumaria renta 20x3'!E:E)</f>
        <v>0</v>
      </c>
    </row>
    <row r="529" spans="1:12" outlineLevel="1" x14ac:dyDescent="0.2">
      <c r="A529" s="884">
        <v>512</v>
      </c>
      <c r="B529" s="881"/>
      <c r="D529" s="1531" t="s">
        <v>1753</v>
      </c>
      <c r="E529" s="1532"/>
      <c r="F529" s="1532"/>
      <c r="G529" s="1533"/>
      <c r="H529" s="1120">
        <f>+SUMIF('Sumaria renta 20x3'!G:G,'2516 20x3'!A529,'Sumaria renta 20x3'!C:C)</f>
        <v>0</v>
      </c>
      <c r="I529" s="1118"/>
      <c r="J529" s="842">
        <f t="shared" si="165"/>
        <v>0</v>
      </c>
      <c r="K529" s="842">
        <f t="shared" si="166"/>
        <v>0</v>
      </c>
      <c r="L529" s="842">
        <f>+SUMIF('Sumaria renta 20x3'!G:G,'2516 20x3'!A529,'Sumaria renta 20x3'!E:E)</f>
        <v>0</v>
      </c>
    </row>
    <row r="530" spans="1:12" outlineLevel="1" x14ac:dyDescent="0.2">
      <c r="A530" s="884">
        <v>513</v>
      </c>
      <c r="B530" s="881"/>
      <c r="C530" s="1528" t="s">
        <v>1729</v>
      </c>
      <c r="D530" s="1531" t="s">
        <v>1725</v>
      </c>
      <c r="E530" s="1532"/>
      <c r="F530" s="1532"/>
      <c r="G530" s="1533"/>
      <c r="H530" s="1120">
        <f>+SUMIF('Sumaria renta 20x3'!G:G,'2516 20x3'!A530,'Sumaria renta 20x3'!C:C)</f>
        <v>0</v>
      </c>
      <c r="I530" s="1118"/>
      <c r="J530" s="842">
        <f t="shared" si="165"/>
        <v>0</v>
      </c>
      <c r="K530" s="842">
        <f t="shared" si="166"/>
        <v>0</v>
      </c>
      <c r="L530" s="842">
        <f>+SUMIF('Sumaria renta 20x3'!G:G,'2516 20x3'!A530,'Sumaria renta 20x3'!E:E)</f>
        <v>0</v>
      </c>
    </row>
    <row r="531" spans="1:12" outlineLevel="1" x14ac:dyDescent="0.2">
      <c r="A531" s="884">
        <v>514</v>
      </c>
      <c r="B531" s="881"/>
      <c r="C531" s="1529"/>
      <c r="D531" s="1531" t="s">
        <v>1723</v>
      </c>
      <c r="E531" s="1532"/>
      <c r="F531" s="1532"/>
      <c r="G531" s="1533"/>
      <c r="H531" s="1120">
        <f>+SUMIF('Sumaria renta 20x3'!G:G,'2516 20x3'!A531,'Sumaria renta 20x3'!C:C)</f>
        <v>0</v>
      </c>
      <c r="I531" s="1118"/>
      <c r="J531" s="842">
        <f t="shared" si="165"/>
        <v>0</v>
      </c>
      <c r="K531" s="842">
        <f t="shared" si="166"/>
        <v>0</v>
      </c>
      <c r="L531" s="842">
        <f>+SUMIF('Sumaria renta 20x3'!G:G,'2516 20x3'!A531,'Sumaria renta 20x3'!E:E)</f>
        <v>0</v>
      </c>
    </row>
    <row r="532" spans="1:12" ht="12.75" customHeight="1" outlineLevel="1" x14ac:dyDescent="0.2">
      <c r="A532" s="884">
        <v>515</v>
      </c>
      <c r="B532" s="881"/>
      <c r="C532" s="1530" t="s">
        <v>1730</v>
      </c>
      <c r="D532" s="1531" t="s">
        <v>143</v>
      </c>
      <c r="E532" s="1532"/>
      <c r="F532" s="1532"/>
      <c r="G532" s="1533"/>
      <c r="H532" s="1120">
        <f>+SUMIF('Sumaria renta 20x3'!G:G,'2516 20x3'!A532,'Sumaria renta 20x3'!C:C)</f>
        <v>0</v>
      </c>
      <c r="I532" s="1118"/>
      <c r="J532" s="842">
        <f t="shared" si="165"/>
        <v>0</v>
      </c>
      <c r="K532" s="842">
        <f t="shared" si="166"/>
        <v>0</v>
      </c>
      <c r="L532" s="842">
        <f>+SUMIF('Sumaria renta 20x3'!G:G,'2516 20x3'!A532,'Sumaria renta 20x3'!E:E)</f>
        <v>0</v>
      </c>
    </row>
    <row r="533" spans="1:12" outlineLevel="1" x14ac:dyDescent="0.2">
      <c r="A533" s="884">
        <v>516</v>
      </c>
      <c r="B533" s="881"/>
      <c r="C533" s="1530"/>
      <c r="D533" s="1531" t="s">
        <v>431</v>
      </c>
      <c r="E533" s="1532"/>
      <c r="F533" s="1532"/>
      <c r="G533" s="1533"/>
      <c r="H533" s="1120">
        <f>+SUMIF('Sumaria renta 20x3'!G:G,'2516 20x3'!A533,'Sumaria renta 20x3'!C:C)</f>
        <v>0</v>
      </c>
      <c r="I533" s="1118"/>
      <c r="J533" s="842">
        <f t="shared" si="165"/>
        <v>0</v>
      </c>
      <c r="K533" s="842">
        <f t="shared" si="166"/>
        <v>0</v>
      </c>
      <c r="L533" s="842">
        <f>+SUMIF('Sumaria renta 20x3'!G:G,'2516 20x3'!A533,'Sumaria renta 20x3'!E:E)</f>
        <v>0</v>
      </c>
    </row>
    <row r="534" spans="1:12" outlineLevel="1" x14ac:dyDescent="0.2">
      <c r="A534" s="884">
        <v>517</v>
      </c>
      <c r="B534" s="881"/>
      <c r="C534" s="1530"/>
      <c r="D534" s="1531" t="s">
        <v>813</v>
      </c>
      <c r="E534" s="1532"/>
      <c r="F534" s="1532"/>
      <c r="G534" s="1533"/>
      <c r="H534" s="1120">
        <f>+SUMIF('Sumaria renta 20x3'!G:G,'2516 20x3'!A534,'Sumaria renta 20x3'!C:C)</f>
        <v>0</v>
      </c>
      <c r="I534" s="1118"/>
      <c r="J534" s="842">
        <f t="shared" si="165"/>
        <v>0</v>
      </c>
      <c r="K534" s="842">
        <f t="shared" si="166"/>
        <v>0</v>
      </c>
      <c r="L534" s="842">
        <f>+SUMIF('Sumaria renta 20x3'!G:G,'2516 20x3'!A534,'Sumaria renta 20x3'!E:E)</f>
        <v>0</v>
      </c>
    </row>
    <row r="535" spans="1:12" outlineLevel="1" x14ac:dyDescent="0.2">
      <c r="A535" s="884">
        <v>518</v>
      </c>
      <c r="B535" s="881"/>
      <c r="C535" s="1530"/>
      <c r="D535" s="1531" t="s">
        <v>1674</v>
      </c>
      <c r="E535" s="1532"/>
      <c r="F535" s="1532"/>
      <c r="G535" s="1533"/>
      <c r="H535" s="1120">
        <f>+SUMIF('Sumaria renta 20x3'!G:G,'2516 20x3'!A535,'Sumaria renta 20x3'!C:C)</f>
        <v>0</v>
      </c>
      <c r="I535" s="1118"/>
      <c r="J535" s="842">
        <f t="shared" si="165"/>
        <v>0</v>
      </c>
      <c r="K535" s="842">
        <f t="shared" si="166"/>
        <v>0</v>
      </c>
      <c r="L535" s="842">
        <f>+SUMIF('Sumaria renta 20x3'!G:G,'2516 20x3'!A535,'Sumaria renta 20x3'!E:E)</f>
        <v>0</v>
      </c>
    </row>
    <row r="536" spans="1:12" outlineLevel="1" x14ac:dyDescent="0.2">
      <c r="A536" s="884">
        <v>519</v>
      </c>
      <c r="B536" s="881"/>
      <c r="C536" s="1530"/>
      <c r="D536" s="1531" t="s">
        <v>1675</v>
      </c>
      <c r="E536" s="1532"/>
      <c r="F536" s="1532"/>
      <c r="G536" s="1533"/>
      <c r="H536" s="1120">
        <f>+SUMIF('Sumaria renta 20x3'!G:G,'2516 20x3'!A536,'Sumaria renta 20x3'!C:C)</f>
        <v>0</v>
      </c>
      <c r="I536" s="1118"/>
      <c r="J536" s="842">
        <f t="shared" si="165"/>
        <v>0</v>
      </c>
      <c r="K536" s="842">
        <f t="shared" si="166"/>
        <v>0</v>
      </c>
      <c r="L536" s="842">
        <f>+SUMIF('Sumaria renta 20x3'!G:G,'2516 20x3'!A536,'Sumaria renta 20x3'!E:E)</f>
        <v>0</v>
      </c>
    </row>
    <row r="537" spans="1:12" outlineLevel="1" x14ac:dyDescent="0.2">
      <c r="A537" s="884">
        <v>520</v>
      </c>
      <c r="B537" s="881"/>
      <c r="C537" s="1530"/>
      <c r="D537" s="1531" t="s">
        <v>1761</v>
      </c>
      <c r="E537" s="1532"/>
      <c r="F537" s="1532"/>
      <c r="G537" s="1533"/>
      <c r="H537" s="1120">
        <f>+SUMIF('Sumaria renta 20x3'!G:G,'2516 20x3'!A537,'Sumaria renta 20x3'!C:C)</f>
        <v>0</v>
      </c>
      <c r="I537" s="1118"/>
      <c r="J537" s="842">
        <f t="shared" si="165"/>
        <v>0</v>
      </c>
      <c r="K537" s="842">
        <f t="shared" si="166"/>
        <v>0</v>
      </c>
      <c r="L537" s="842">
        <f>+SUMIF('Sumaria renta 20x3'!G:G,'2516 20x3'!A537,'Sumaria renta 20x3'!E:E)</f>
        <v>0</v>
      </c>
    </row>
    <row r="538" spans="1:12" outlineLevel="1" x14ac:dyDescent="0.2">
      <c r="A538" s="884">
        <v>521</v>
      </c>
      <c r="B538" s="881"/>
      <c r="C538" s="1530"/>
      <c r="D538" s="1531" t="s">
        <v>1732</v>
      </c>
      <c r="E538" s="1532"/>
      <c r="F538" s="1532"/>
      <c r="G538" s="1533"/>
      <c r="H538" s="1120">
        <f>+SUMIF('Sumaria renta 20x3'!G:G,'2516 20x3'!A538,'Sumaria renta 20x3'!C:C)</f>
        <v>0</v>
      </c>
      <c r="I538" s="1118"/>
      <c r="J538" s="842">
        <f t="shared" si="165"/>
        <v>0</v>
      </c>
      <c r="K538" s="842">
        <f t="shared" si="166"/>
        <v>0</v>
      </c>
      <c r="L538" s="842">
        <f>+SUMIF('Sumaria renta 20x3'!G:G,'2516 20x3'!A538,'Sumaria renta 20x3'!E:E)</f>
        <v>0</v>
      </c>
    </row>
    <row r="539" spans="1:12" outlineLevel="1" x14ac:dyDescent="0.2">
      <c r="A539" s="884">
        <v>522</v>
      </c>
      <c r="B539" s="881"/>
      <c r="C539" s="1530"/>
      <c r="D539" s="1531" t="s">
        <v>1676</v>
      </c>
      <c r="E539" s="1532"/>
      <c r="F539" s="1532"/>
      <c r="G539" s="1533"/>
      <c r="H539" s="1120">
        <f>+SUMIF('Sumaria renta 20x3'!G:G,'2516 20x3'!A539,'Sumaria renta 20x3'!C:C)</f>
        <v>0</v>
      </c>
      <c r="I539" s="1118"/>
      <c r="J539" s="842">
        <f t="shared" si="165"/>
        <v>0</v>
      </c>
      <c r="K539" s="842">
        <f t="shared" si="166"/>
        <v>0</v>
      </c>
      <c r="L539" s="842">
        <f>+SUMIF('Sumaria renta 20x3'!G:G,'2516 20x3'!A539,'Sumaria renta 20x3'!E:E)</f>
        <v>0</v>
      </c>
    </row>
    <row r="540" spans="1:12" outlineLevel="1" x14ac:dyDescent="0.2">
      <c r="A540" s="884">
        <v>523</v>
      </c>
      <c r="B540" s="881"/>
      <c r="C540" s="1530"/>
      <c r="D540" s="1531" t="s">
        <v>1678</v>
      </c>
      <c r="E540" s="1532"/>
      <c r="F540" s="1532"/>
      <c r="G540" s="1533"/>
      <c r="H540" s="1120">
        <f>+SUMIF('Sumaria renta 20x3'!G:G,'2516 20x3'!A540,'Sumaria renta 20x3'!C:C)</f>
        <v>0</v>
      </c>
      <c r="I540" s="1118"/>
      <c r="J540" s="842">
        <f t="shared" si="165"/>
        <v>0</v>
      </c>
      <c r="K540" s="842">
        <f t="shared" si="166"/>
        <v>0</v>
      </c>
      <c r="L540" s="842">
        <f>+SUMIF('Sumaria renta 20x3'!G:G,'2516 20x3'!A540,'Sumaria renta 20x3'!E:E)</f>
        <v>0</v>
      </c>
    </row>
    <row r="541" spans="1:12" outlineLevel="1" x14ac:dyDescent="0.2">
      <c r="A541" s="884">
        <v>524</v>
      </c>
      <c r="B541" s="881"/>
      <c r="C541" s="1530"/>
      <c r="D541" s="1531" t="s">
        <v>1679</v>
      </c>
      <c r="E541" s="1532"/>
      <c r="F541" s="1532"/>
      <c r="G541" s="1533"/>
      <c r="H541" s="1120">
        <f>+SUMIF('Sumaria renta 20x3'!G:G,'2516 20x3'!A541,'Sumaria renta 20x3'!C:C)</f>
        <v>0</v>
      </c>
      <c r="I541" s="1118"/>
      <c r="J541" s="842">
        <f t="shared" si="165"/>
        <v>0</v>
      </c>
      <c r="K541" s="842">
        <f t="shared" si="166"/>
        <v>0</v>
      </c>
      <c r="L541" s="842">
        <f>+SUMIF('Sumaria renta 20x3'!G:G,'2516 20x3'!A541,'Sumaria renta 20x3'!E:E)</f>
        <v>0</v>
      </c>
    </row>
    <row r="542" spans="1:12" outlineLevel="1" x14ac:dyDescent="0.2">
      <c r="A542" s="884">
        <v>525</v>
      </c>
      <c r="B542" s="881"/>
      <c r="C542" s="1530"/>
      <c r="D542" s="1531" t="s">
        <v>1680</v>
      </c>
      <c r="E542" s="1532"/>
      <c r="F542" s="1532"/>
      <c r="G542" s="1533"/>
      <c r="H542" s="1120">
        <f>+SUMIF('Sumaria renta 20x3'!G:G,'2516 20x3'!A542,'Sumaria renta 20x3'!C:C)</f>
        <v>0</v>
      </c>
      <c r="I542" s="1118"/>
      <c r="J542" s="842">
        <f t="shared" si="165"/>
        <v>0</v>
      </c>
      <c r="K542" s="842">
        <f t="shared" si="166"/>
        <v>0</v>
      </c>
      <c r="L542" s="842">
        <f>+SUMIF('Sumaria renta 20x3'!G:G,'2516 20x3'!A542,'Sumaria renta 20x3'!E:E)</f>
        <v>0</v>
      </c>
    </row>
    <row r="543" spans="1:12" outlineLevel="1" x14ac:dyDescent="0.2">
      <c r="A543" s="884">
        <v>526</v>
      </c>
      <c r="B543" s="881"/>
      <c r="C543" s="1529"/>
      <c r="D543" s="1531" t="s">
        <v>1734</v>
      </c>
      <c r="E543" s="1532"/>
      <c r="F543" s="1532"/>
      <c r="G543" s="1533"/>
      <c r="H543" s="1120">
        <f>+SUMIF('Sumaria renta 20x3'!G:G,'2516 20x3'!A543,'Sumaria renta 20x3'!C:C)</f>
        <v>0</v>
      </c>
      <c r="I543" s="1118"/>
      <c r="J543" s="842">
        <f t="shared" si="165"/>
        <v>0</v>
      </c>
      <c r="K543" s="842">
        <f t="shared" si="166"/>
        <v>0</v>
      </c>
      <c r="L543" s="842">
        <f>+SUMIF('Sumaria renta 20x3'!G:G,'2516 20x3'!A543,'Sumaria renta 20x3'!E:E)</f>
        <v>0</v>
      </c>
    </row>
    <row r="544" spans="1:12" outlineLevel="1" x14ac:dyDescent="0.2">
      <c r="A544" s="884">
        <v>527</v>
      </c>
      <c r="B544" s="881"/>
      <c r="D544" s="1531" t="s">
        <v>1681</v>
      </c>
      <c r="E544" s="1532"/>
      <c r="F544" s="1532"/>
      <c r="G544" s="1533"/>
      <c r="H544" s="1120">
        <f>+SUMIF('Sumaria renta 20x3'!G:G,'2516 20x3'!A544,'Sumaria renta 20x3'!C:C)</f>
        <v>0</v>
      </c>
      <c r="I544" s="1118"/>
      <c r="J544" s="842">
        <f t="shared" si="165"/>
        <v>0</v>
      </c>
      <c r="K544" s="842">
        <f t="shared" si="166"/>
        <v>0</v>
      </c>
      <c r="L544" s="842">
        <f>+SUMIF('Sumaria renta 20x3'!G:G,'2516 20x3'!A544,'Sumaria renta 20x3'!E:E)</f>
        <v>0</v>
      </c>
    </row>
    <row r="545" spans="1:13" ht="12.75" customHeight="1" outlineLevel="1" x14ac:dyDescent="0.2">
      <c r="A545" s="880">
        <v>528</v>
      </c>
      <c r="B545" s="881"/>
      <c r="D545" s="1534" t="s">
        <v>1762</v>
      </c>
      <c r="E545" s="1535"/>
      <c r="F545" s="1535"/>
      <c r="G545" s="1536"/>
      <c r="H545" s="890">
        <f>+SUM(H546:H556)</f>
        <v>0</v>
      </c>
      <c r="I545" s="890">
        <f t="shared" ref="I545:L545" si="167">+SUM(I546:I556)</f>
        <v>0</v>
      </c>
      <c r="J545" s="890">
        <f t="shared" si="167"/>
        <v>0</v>
      </c>
      <c r="K545" s="890">
        <f t="shared" si="167"/>
        <v>0</v>
      </c>
      <c r="L545" s="890">
        <f t="shared" si="167"/>
        <v>0</v>
      </c>
      <c r="M545" s="1161">
        <f>+L545-'110 Renta 20x3'!Q53</f>
        <v>0</v>
      </c>
    </row>
    <row r="546" spans="1:13" outlineLevel="1" x14ac:dyDescent="0.2">
      <c r="A546" s="884">
        <v>529</v>
      </c>
      <c r="B546" s="881"/>
      <c r="C546" s="1528" t="s">
        <v>1763</v>
      </c>
      <c r="D546" s="1531" t="s">
        <v>1764</v>
      </c>
      <c r="E546" s="1532"/>
      <c r="F546" s="1532"/>
      <c r="G546" s="1533"/>
      <c r="H546" s="1120">
        <f>+SUMIF('Sumaria renta 20x3'!G:G,'2516 20x3'!A546,'Sumaria renta 20x3'!C:C)</f>
        <v>0</v>
      </c>
      <c r="I546" s="1118"/>
      <c r="J546" s="842">
        <f t="shared" ref="J546:J556" si="168">+IF((H546&gt;L546),(H546-L546),0)</f>
        <v>0</v>
      </c>
      <c r="K546" s="842">
        <f t="shared" ref="K546:K556" si="169">+IF((H546&lt;L546),(L546-H546),0)</f>
        <v>0</v>
      </c>
      <c r="L546" s="842">
        <f>+SUMIF('Sumaria renta 20x3'!G:G,'2516 20x3'!A546,'Sumaria renta 20x3'!E:E)</f>
        <v>0</v>
      </c>
    </row>
    <row r="547" spans="1:13" outlineLevel="1" x14ac:dyDescent="0.2">
      <c r="A547" s="884">
        <v>530</v>
      </c>
      <c r="B547" s="881"/>
      <c r="C547" s="1529"/>
      <c r="D547" s="1531" t="s">
        <v>1765</v>
      </c>
      <c r="E547" s="1532"/>
      <c r="F547" s="1532"/>
      <c r="G547" s="1533"/>
      <c r="H547" s="1120">
        <f>+SUMIF('Sumaria renta 20x3'!G:G,'2516 20x3'!A547,'Sumaria renta 20x3'!C:C)</f>
        <v>0</v>
      </c>
      <c r="I547" s="1118"/>
      <c r="J547" s="842">
        <f t="shared" si="168"/>
        <v>0</v>
      </c>
      <c r="K547" s="842">
        <f t="shared" si="169"/>
        <v>0</v>
      </c>
      <c r="L547" s="842">
        <f>+SUMIF('Sumaria renta 20x3'!G:G,'2516 20x3'!A547,'Sumaria renta 20x3'!E:E)</f>
        <v>0</v>
      </c>
    </row>
    <row r="548" spans="1:13" outlineLevel="1" x14ac:dyDescent="0.2">
      <c r="A548" s="884">
        <v>531</v>
      </c>
      <c r="B548" s="881"/>
      <c r="D548" s="1531" t="s">
        <v>1766</v>
      </c>
      <c r="E548" s="1532"/>
      <c r="F548" s="1532"/>
      <c r="G548" s="1533"/>
      <c r="H548" s="1120">
        <f>+SUMIF('Sumaria renta 20x3'!G:G,'2516 20x3'!A548,'Sumaria renta 20x3'!C:C)</f>
        <v>0</v>
      </c>
      <c r="I548" s="1118"/>
      <c r="J548" s="842">
        <f t="shared" si="168"/>
        <v>0</v>
      </c>
      <c r="K548" s="842">
        <f t="shared" si="169"/>
        <v>0</v>
      </c>
      <c r="L548" s="842">
        <f>+SUMIF('Sumaria renta 20x3'!G:G,'2516 20x3'!A548,'Sumaria renta 20x3'!E:E)</f>
        <v>0</v>
      </c>
    </row>
    <row r="549" spans="1:13" ht="26.25" customHeight="1" outlineLevel="1" x14ac:dyDescent="0.2">
      <c r="A549" s="884">
        <v>532</v>
      </c>
      <c r="B549" s="881"/>
      <c r="D549" s="1531" t="s">
        <v>1767</v>
      </c>
      <c r="E549" s="1532"/>
      <c r="F549" s="1532"/>
      <c r="G549" s="1533"/>
      <c r="H549" s="1120">
        <f>+SUMIF('Sumaria renta 20x3'!G:G,'2516 20x3'!A549,'Sumaria renta 20x3'!C:C)</f>
        <v>0</v>
      </c>
      <c r="I549" s="1118"/>
      <c r="J549" s="842">
        <f t="shared" si="168"/>
        <v>0</v>
      </c>
      <c r="K549" s="842">
        <f t="shared" si="169"/>
        <v>0</v>
      </c>
      <c r="L549" s="842">
        <f>+SUMIF('Sumaria renta 20x3'!G:G,'2516 20x3'!A549,'Sumaria renta 20x3'!E:E)</f>
        <v>0</v>
      </c>
    </row>
    <row r="550" spans="1:13" ht="23.25" customHeight="1" outlineLevel="1" x14ac:dyDescent="0.2">
      <c r="A550" s="884">
        <v>533</v>
      </c>
      <c r="B550" s="881"/>
      <c r="D550" s="1531" t="s">
        <v>1656</v>
      </c>
      <c r="E550" s="1532"/>
      <c r="F550" s="1532"/>
      <c r="G550" s="1533"/>
      <c r="H550" s="1120">
        <f>+SUMIF('Sumaria renta 20x3'!G:G,'2516 20x3'!A550,'Sumaria renta 20x3'!C:C)</f>
        <v>0</v>
      </c>
      <c r="I550" s="1118"/>
      <c r="J550" s="842">
        <f t="shared" si="168"/>
        <v>0</v>
      </c>
      <c r="K550" s="842">
        <f t="shared" si="169"/>
        <v>0</v>
      </c>
      <c r="L550" s="842">
        <f>+SUMIF('Sumaria renta 20x3'!G:G,'2516 20x3'!A550,'Sumaria renta 20x3'!E:E)</f>
        <v>0</v>
      </c>
    </row>
    <row r="551" spans="1:13" outlineLevel="1" x14ac:dyDescent="0.2">
      <c r="A551" s="884">
        <v>534</v>
      </c>
      <c r="B551" s="881"/>
      <c r="D551" s="1531" t="s">
        <v>1768</v>
      </c>
      <c r="E551" s="1532"/>
      <c r="F551" s="1532"/>
      <c r="G551" s="1533"/>
      <c r="H551" s="1120">
        <f>+SUMIF('Sumaria renta 20x3'!G:G,'2516 20x3'!A551,'Sumaria renta 20x3'!C:C)</f>
        <v>0</v>
      </c>
      <c r="I551" s="1118"/>
      <c r="J551" s="842">
        <f t="shared" si="168"/>
        <v>0</v>
      </c>
      <c r="K551" s="842">
        <f t="shared" si="169"/>
        <v>0</v>
      </c>
      <c r="L551" s="842">
        <f>+SUMIF('Sumaria renta 20x3'!G:G,'2516 20x3'!A551,'Sumaria renta 20x3'!E:E)</f>
        <v>0</v>
      </c>
    </row>
    <row r="552" spans="1:13" outlineLevel="1" x14ac:dyDescent="0.2">
      <c r="A552" s="884">
        <v>535</v>
      </c>
      <c r="B552" s="881"/>
      <c r="D552" s="1531" t="s">
        <v>154</v>
      </c>
      <c r="E552" s="1532"/>
      <c r="F552" s="1532"/>
      <c r="G552" s="1533"/>
      <c r="H552" s="1120">
        <f>+SUMIF('Sumaria renta 20x3'!G:G,'2516 20x3'!A552,'Sumaria renta 20x3'!C:C)</f>
        <v>0</v>
      </c>
      <c r="I552" s="1118"/>
      <c r="J552" s="842">
        <f t="shared" si="168"/>
        <v>0</v>
      </c>
      <c r="K552" s="842">
        <f t="shared" si="169"/>
        <v>0</v>
      </c>
      <c r="L552" s="842">
        <f>+SUMIF('Sumaria renta 20x3'!G:G,'2516 20x3'!A552,'Sumaria renta 20x3'!E:E)</f>
        <v>0</v>
      </c>
    </row>
    <row r="553" spans="1:13" outlineLevel="1" x14ac:dyDescent="0.2">
      <c r="A553" s="884">
        <v>536</v>
      </c>
      <c r="B553" s="881"/>
      <c r="D553" s="1531" t="s">
        <v>1657</v>
      </c>
      <c r="E553" s="1532"/>
      <c r="F553" s="1532"/>
      <c r="G553" s="1533"/>
      <c r="H553" s="1120">
        <f>+SUMIF('Sumaria renta 20x3'!G:G,'2516 20x3'!A553,'Sumaria renta 20x3'!C:C)</f>
        <v>0</v>
      </c>
      <c r="I553" s="1118"/>
      <c r="J553" s="842">
        <f t="shared" si="168"/>
        <v>0</v>
      </c>
      <c r="K553" s="842">
        <f t="shared" si="169"/>
        <v>0</v>
      </c>
      <c r="L553" s="842">
        <f>+SUMIF('Sumaria renta 20x3'!G:G,'2516 20x3'!A553,'Sumaria renta 20x3'!E:E)</f>
        <v>0</v>
      </c>
    </row>
    <row r="554" spans="1:13" outlineLevel="1" x14ac:dyDescent="0.2">
      <c r="A554" s="884">
        <v>537</v>
      </c>
      <c r="B554" s="881"/>
      <c r="D554" s="1531" t="s">
        <v>1769</v>
      </c>
      <c r="E554" s="1532"/>
      <c r="F554" s="1532"/>
      <c r="G554" s="1533"/>
      <c r="H554" s="1120">
        <f>+SUMIF('Sumaria renta 20x3'!G:G,'2516 20x3'!A554,'Sumaria renta 20x3'!C:C)</f>
        <v>0</v>
      </c>
      <c r="I554" s="1118"/>
      <c r="J554" s="842">
        <f t="shared" si="168"/>
        <v>0</v>
      </c>
      <c r="K554" s="842">
        <f t="shared" si="169"/>
        <v>0</v>
      </c>
      <c r="L554" s="842">
        <f>+SUMIF('Sumaria renta 20x3'!G:G,'2516 20x3'!A554,'Sumaria renta 20x3'!E:E)</f>
        <v>0</v>
      </c>
    </row>
    <row r="555" spans="1:13" outlineLevel="1" x14ac:dyDescent="0.2">
      <c r="A555" s="884">
        <v>538</v>
      </c>
      <c r="B555" s="881"/>
      <c r="D555" s="1531" t="s">
        <v>1770</v>
      </c>
      <c r="E555" s="1532"/>
      <c r="F555" s="1532"/>
      <c r="G555" s="1533"/>
      <c r="H555" s="1120">
        <f>+SUMIF('Sumaria renta 20x3'!G:G,'2516 20x3'!A555,'Sumaria renta 20x3'!C:C)</f>
        <v>0</v>
      </c>
      <c r="I555" s="1118"/>
      <c r="J555" s="842">
        <f t="shared" si="168"/>
        <v>0</v>
      </c>
      <c r="K555" s="842">
        <f t="shared" si="169"/>
        <v>0</v>
      </c>
      <c r="L555" s="842">
        <f>+SUMIF('Sumaria renta 20x3'!G:G,'2516 20x3'!A555,'Sumaria renta 20x3'!E:E)</f>
        <v>0</v>
      </c>
    </row>
    <row r="556" spans="1:13" ht="26.25" customHeight="1" outlineLevel="1" x14ac:dyDescent="0.2">
      <c r="A556" s="884">
        <v>539</v>
      </c>
      <c r="B556" s="881"/>
      <c r="D556" s="1531" t="s">
        <v>1771</v>
      </c>
      <c r="E556" s="1532"/>
      <c r="F556" s="1532"/>
      <c r="G556" s="1533"/>
      <c r="H556" s="1120">
        <f>+SUMIF('Sumaria renta 20x3'!G:G,'2516 20x3'!A556,'Sumaria renta 20x3'!C:C)</f>
        <v>0</v>
      </c>
      <c r="I556" s="1118"/>
      <c r="J556" s="842">
        <f t="shared" si="168"/>
        <v>0</v>
      </c>
      <c r="K556" s="842">
        <f t="shared" si="169"/>
        <v>0</v>
      </c>
      <c r="L556" s="842">
        <f>+SUMIF('Sumaria renta 20x3'!G:G,'2516 20x3'!A556,'Sumaria renta 20x3'!E:E)</f>
        <v>0</v>
      </c>
    </row>
    <row r="557" spans="1:13" ht="23.25" customHeight="1" outlineLevel="1" x14ac:dyDescent="0.2">
      <c r="A557" s="880">
        <v>540</v>
      </c>
      <c r="B557" s="881"/>
      <c r="D557" s="1534" t="s">
        <v>1772</v>
      </c>
      <c r="E557" s="1535"/>
      <c r="F557" s="1535"/>
      <c r="G557" s="1536"/>
      <c r="H557" s="1136">
        <f>+SUM(H558:H559)</f>
        <v>0</v>
      </c>
      <c r="I557" s="1136">
        <f t="shared" ref="I557:L557" si="170">+SUM(I558:I559)</f>
        <v>0</v>
      </c>
      <c r="J557" s="1136">
        <f t="shared" si="170"/>
        <v>0</v>
      </c>
      <c r="K557" s="1136">
        <f t="shared" si="170"/>
        <v>0</v>
      </c>
      <c r="L557" s="1136">
        <f t="shared" si="170"/>
        <v>0</v>
      </c>
    </row>
    <row r="558" spans="1:13" outlineLevel="1" x14ac:dyDescent="0.2">
      <c r="A558" s="884">
        <v>541</v>
      </c>
      <c r="B558" s="881"/>
      <c r="D558" s="1531" t="s">
        <v>1773</v>
      </c>
      <c r="E558" s="1532"/>
      <c r="F558" s="1532"/>
      <c r="G558" s="1533"/>
      <c r="H558" s="1120">
        <f>+SUMIF('Sumaria renta 20x3'!G:G,'2516 20x3'!A558,'Sumaria renta 20x3'!C:C)</f>
        <v>0</v>
      </c>
      <c r="I558" s="1118"/>
      <c r="J558" s="842">
        <f t="shared" ref="J558:J559" si="171">+IF((H558&gt;L558),(H558-L558),0)</f>
        <v>0</v>
      </c>
      <c r="K558" s="842">
        <f t="shared" ref="K558:K559" si="172">+IF((H558&lt;L558),(L558-H558),0)</f>
        <v>0</v>
      </c>
      <c r="L558" s="842">
        <f>+SUMIF('Sumaria renta 20x3'!G:G,'2516 20x3'!A558,'Sumaria renta 20x3'!E:E)</f>
        <v>0</v>
      </c>
    </row>
    <row r="559" spans="1:13" outlineLevel="1" x14ac:dyDescent="0.2">
      <c r="A559" s="884">
        <v>542</v>
      </c>
      <c r="B559" s="881"/>
      <c r="D559" s="1531" t="s">
        <v>1774</v>
      </c>
      <c r="E559" s="1532"/>
      <c r="F559" s="1532"/>
      <c r="G559" s="1533"/>
      <c r="H559" s="1120">
        <f>+SUMIF('Sumaria renta 20x3'!G:G,'2516 20x3'!A559,'Sumaria renta 20x3'!C:C)</f>
        <v>0</v>
      </c>
      <c r="I559" s="1118"/>
      <c r="J559" s="842">
        <f t="shared" si="171"/>
        <v>0</v>
      </c>
      <c r="K559" s="842">
        <f t="shared" si="172"/>
        <v>0</v>
      </c>
      <c r="L559" s="842">
        <f>+SUMIF('Sumaria renta 20x3'!G:G,'2516 20x3'!A559,'Sumaria renta 20x3'!E:E)</f>
        <v>0</v>
      </c>
    </row>
    <row r="560" spans="1:13" outlineLevel="1" x14ac:dyDescent="0.2">
      <c r="A560" s="880">
        <v>543</v>
      </c>
      <c r="B560" s="881"/>
      <c r="D560" s="1534" t="s">
        <v>1774</v>
      </c>
      <c r="E560" s="1535"/>
      <c r="F560" s="1535"/>
      <c r="G560" s="1536"/>
      <c r="H560" s="882">
        <f>+SUM(H561:H565)</f>
        <v>0</v>
      </c>
      <c r="I560" s="882">
        <f t="shared" ref="I560:L560" si="173">+SUM(I561:I565)</f>
        <v>0</v>
      </c>
      <c r="J560" s="882">
        <f t="shared" si="173"/>
        <v>0</v>
      </c>
      <c r="K560" s="882">
        <f t="shared" si="173"/>
        <v>0</v>
      </c>
      <c r="L560" s="882">
        <f t="shared" si="173"/>
        <v>0</v>
      </c>
    </row>
    <row r="561" spans="1:12" outlineLevel="1" x14ac:dyDescent="0.2">
      <c r="A561" s="884">
        <v>544</v>
      </c>
      <c r="B561" s="881"/>
      <c r="D561" s="1531" t="s">
        <v>72</v>
      </c>
      <c r="E561" s="1532"/>
      <c r="F561" s="1532"/>
      <c r="G561" s="1533"/>
      <c r="H561" s="1120">
        <f>-SUMIF('Sumaria renta 20x3'!G:G,'2516 20x3'!A561,'Sumaria renta 20x3'!C:C)</f>
        <v>0</v>
      </c>
      <c r="I561" s="1118"/>
      <c r="J561" s="842">
        <f t="shared" ref="J561" si="174">+IF((H561&gt;L561),(H561-L561),0)</f>
        <v>0</v>
      </c>
      <c r="K561" s="842">
        <f t="shared" ref="K561" si="175">+IF((H561&lt;L561),(L561-H561),0)</f>
        <v>0</v>
      </c>
      <c r="L561" s="842">
        <f>-SUMIF('Sumaria renta 20x3'!G:G,'2516 20x3'!A561,'Sumaria renta 20x3'!E:E)</f>
        <v>0</v>
      </c>
    </row>
    <row r="562" spans="1:12" outlineLevel="1" x14ac:dyDescent="0.2">
      <c r="A562" s="884">
        <v>545</v>
      </c>
      <c r="B562" s="881"/>
      <c r="D562" s="1531" t="s">
        <v>59</v>
      </c>
      <c r="E562" s="1532"/>
      <c r="F562" s="1532"/>
      <c r="G562" s="1533"/>
      <c r="H562" s="1120">
        <f>-SUMIF('Sumaria renta 20x3'!G:G,'2516 20x3'!A562,'Sumaria renta 20x3'!C:C)</f>
        <v>0</v>
      </c>
      <c r="I562" s="1118"/>
      <c r="J562" s="842">
        <f t="shared" ref="J562:J565" si="176">+IF((H562&gt;L562),(H562-L562),0)</f>
        <v>0</v>
      </c>
      <c r="K562" s="842">
        <f t="shared" ref="K562:K565" si="177">+IF((H562&lt;L562),(L562-H562),0)</f>
        <v>0</v>
      </c>
      <c r="L562" s="842">
        <f>-SUMIF('Sumaria renta 20x3'!G:G,'2516 20x3'!A562,'Sumaria renta 20x3'!E:E)</f>
        <v>0</v>
      </c>
    </row>
    <row r="563" spans="1:12" outlineLevel="1" x14ac:dyDescent="0.2">
      <c r="A563" s="884">
        <v>546</v>
      </c>
      <c r="B563" s="881"/>
      <c r="D563" s="1531" t="s">
        <v>814</v>
      </c>
      <c r="E563" s="1532"/>
      <c r="F563" s="1532"/>
      <c r="G563" s="1533"/>
      <c r="H563" s="1120">
        <f>-SUMIF('Sumaria renta 20x3'!G:G,'2516 20x3'!A563,'Sumaria renta 20x3'!C:C)</f>
        <v>0</v>
      </c>
      <c r="I563" s="1118"/>
      <c r="J563" s="842">
        <f t="shared" si="176"/>
        <v>0</v>
      </c>
      <c r="K563" s="842">
        <f t="shared" si="177"/>
        <v>0</v>
      </c>
      <c r="L563" s="842">
        <f>-SUMIF('Sumaria renta 20x3'!G:G,'2516 20x3'!A563,'Sumaria renta 20x3'!E:E)</f>
        <v>0</v>
      </c>
    </row>
    <row r="564" spans="1:12" outlineLevel="1" x14ac:dyDescent="0.2">
      <c r="A564" s="884">
        <v>547</v>
      </c>
      <c r="B564" s="881"/>
      <c r="D564" s="1531" t="s">
        <v>1664</v>
      </c>
      <c r="E564" s="1532"/>
      <c r="F564" s="1532"/>
      <c r="G564" s="1533"/>
      <c r="H564" s="1120">
        <f>-SUMIF('Sumaria renta 20x3'!G:G,'2516 20x3'!A564,'Sumaria renta 20x3'!C:C)</f>
        <v>0</v>
      </c>
      <c r="I564" s="1118"/>
      <c r="J564" s="842">
        <f t="shared" si="176"/>
        <v>0</v>
      </c>
      <c r="K564" s="842">
        <f t="shared" si="177"/>
        <v>0</v>
      </c>
      <c r="L564" s="842">
        <f>-SUMIF('Sumaria renta 20x3'!G:G,'2516 20x3'!A564,'Sumaria renta 20x3'!E:E)</f>
        <v>0</v>
      </c>
    </row>
    <row r="565" spans="1:12" outlineLevel="1" x14ac:dyDescent="0.2">
      <c r="A565" s="884">
        <v>548</v>
      </c>
      <c r="B565" s="881"/>
      <c r="D565" s="1531" t="s">
        <v>1775</v>
      </c>
      <c r="E565" s="1532"/>
      <c r="F565" s="1532"/>
      <c r="G565" s="1533"/>
      <c r="H565" s="1120">
        <f>-SUMIF('Sumaria renta 20x3'!G:G,'2516 20x3'!A565,'Sumaria renta 20x3'!C:C)</f>
        <v>0</v>
      </c>
      <c r="I565" s="1118"/>
      <c r="J565" s="842">
        <f t="shared" si="176"/>
        <v>0</v>
      </c>
      <c r="K565" s="842">
        <f t="shared" si="177"/>
        <v>0</v>
      </c>
      <c r="L565" s="842">
        <f>-SUMIF('Sumaria renta 20x3'!G:G,'2516 20x3'!A565,'Sumaria renta 20x3'!E:E)</f>
        <v>0</v>
      </c>
    </row>
    <row r="566" spans="1:12" outlineLevel="1" x14ac:dyDescent="0.2">
      <c r="A566" s="880">
        <v>549</v>
      </c>
      <c r="B566" s="881"/>
      <c r="D566" s="1534" t="s">
        <v>1776</v>
      </c>
      <c r="E566" s="1535"/>
      <c r="F566" s="1535"/>
      <c r="G566" s="1536"/>
      <c r="H566" s="882">
        <f>+SUM(H567:H575)</f>
        <v>0</v>
      </c>
      <c r="I566" s="882">
        <f t="shared" ref="I566:L566" si="178">+SUM(I567:I575)</f>
        <v>0</v>
      </c>
      <c r="J566" s="882">
        <f t="shared" si="178"/>
        <v>0</v>
      </c>
      <c r="K566" s="882">
        <f t="shared" si="178"/>
        <v>0</v>
      </c>
      <c r="L566" s="882">
        <f t="shared" si="178"/>
        <v>0</v>
      </c>
    </row>
    <row r="567" spans="1:12" outlineLevel="1" x14ac:dyDescent="0.2">
      <c r="A567" s="884">
        <v>550</v>
      </c>
      <c r="B567" s="881"/>
      <c r="D567" s="1531" t="s">
        <v>431</v>
      </c>
      <c r="E567" s="1532"/>
      <c r="F567" s="1532"/>
      <c r="G567" s="1533"/>
      <c r="H567" s="1120">
        <f>+SUMIF('Sumaria renta 20x3'!G:G,'2516 20x3'!A567,'Sumaria renta 20x3'!C:C)</f>
        <v>0</v>
      </c>
      <c r="I567" s="1118"/>
      <c r="J567" s="842">
        <f t="shared" ref="J567:J575" si="179">+IF((H567&gt;L567),(H567-L567),0)</f>
        <v>0</v>
      </c>
      <c r="K567" s="842">
        <f t="shared" ref="K567:K575" si="180">+IF((H567&lt;L567),(L567-H567),0)</f>
        <v>0</v>
      </c>
      <c r="L567" s="842">
        <f>+SUMIF('Sumaria renta 20x3'!G:G,'2516 20x3'!A567,'Sumaria renta 20x3'!E:E)</f>
        <v>0</v>
      </c>
    </row>
    <row r="568" spans="1:12" outlineLevel="1" x14ac:dyDescent="0.2">
      <c r="A568" s="884">
        <v>551</v>
      </c>
      <c r="B568" s="881"/>
      <c r="D568" s="1531" t="s">
        <v>1777</v>
      </c>
      <c r="E568" s="1532"/>
      <c r="F568" s="1532"/>
      <c r="G568" s="1533"/>
      <c r="H568" s="1120">
        <f>+SUMIF('Sumaria renta 20x3'!G:G,'2516 20x3'!A568,'Sumaria renta 20x3'!C:C)</f>
        <v>0</v>
      </c>
      <c r="I568" s="1118"/>
      <c r="J568" s="842">
        <f t="shared" si="179"/>
        <v>0</v>
      </c>
      <c r="K568" s="842">
        <f t="shared" si="180"/>
        <v>0</v>
      </c>
      <c r="L568" s="842">
        <f>+SUMIF('Sumaria renta 20x3'!G:G,'2516 20x3'!A568,'Sumaria renta 20x3'!E:E)</f>
        <v>0</v>
      </c>
    </row>
    <row r="569" spans="1:12" outlineLevel="1" x14ac:dyDescent="0.2">
      <c r="A569" s="884">
        <v>552</v>
      </c>
      <c r="B569" s="881"/>
      <c r="D569" s="1531" t="s">
        <v>1668</v>
      </c>
      <c r="E569" s="1532"/>
      <c r="F569" s="1532"/>
      <c r="G569" s="1533"/>
      <c r="H569" s="1120">
        <f>+SUMIF('Sumaria renta 20x3'!G:G,'2516 20x3'!A569,'Sumaria renta 20x3'!C:C)</f>
        <v>0</v>
      </c>
      <c r="I569" s="1118"/>
      <c r="J569" s="842">
        <f t="shared" si="179"/>
        <v>0</v>
      </c>
      <c r="K569" s="842">
        <f t="shared" si="180"/>
        <v>0</v>
      </c>
      <c r="L569" s="842">
        <f>+SUMIF('Sumaria renta 20x3'!G:G,'2516 20x3'!A569,'Sumaria renta 20x3'!E:E)</f>
        <v>0</v>
      </c>
    </row>
    <row r="570" spans="1:12" outlineLevel="1" x14ac:dyDescent="0.2">
      <c r="A570" s="884">
        <v>553</v>
      </c>
      <c r="B570" s="881"/>
      <c r="D570" s="1531" t="s">
        <v>1778</v>
      </c>
      <c r="E570" s="1532"/>
      <c r="F570" s="1532"/>
      <c r="G570" s="1533"/>
      <c r="H570" s="1120">
        <f>+SUMIF('Sumaria renta 20x3'!G:G,'2516 20x3'!A570,'Sumaria renta 20x3'!C:C)</f>
        <v>0</v>
      </c>
      <c r="I570" s="1118"/>
      <c r="J570" s="842">
        <f t="shared" si="179"/>
        <v>0</v>
      </c>
      <c r="K570" s="842">
        <f t="shared" si="180"/>
        <v>0</v>
      </c>
      <c r="L570" s="842">
        <f>+SUMIF('Sumaria renta 20x3'!G:G,'2516 20x3'!A570,'Sumaria renta 20x3'!E:E)</f>
        <v>0</v>
      </c>
    </row>
    <row r="571" spans="1:12" outlineLevel="1" x14ac:dyDescent="0.2">
      <c r="A571" s="884">
        <v>554</v>
      </c>
      <c r="B571" s="881"/>
      <c r="D571" s="1531" t="s">
        <v>1671</v>
      </c>
      <c r="E571" s="1532"/>
      <c r="F571" s="1532"/>
      <c r="G571" s="1533"/>
      <c r="H571" s="1120">
        <f>+SUMIF('Sumaria renta 20x3'!G:G,'2516 20x3'!A571,'Sumaria renta 20x3'!C:C)</f>
        <v>0</v>
      </c>
      <c r="I571" s="1118"/>
      <c r="J571" s="842">
        <f t="shared" si="179"/>
        <v>0</v>
      </c>
      <c r="K571" s="842">
        <f t="shared" si="180"/>
        <v>0</v>
      </c>
      <c r="L571" s="842">
        <f>+SUMIF('Sumaria renta 20x3'!G:G,'2516 20x3'!A571,'Sumaria renta 20x3'!E:E)</f>
        <v>0</v>
      </c>
    </row>
    <row r="572" spans="1:12" outlineLevel="1" x14ac:dyDescent="0.2">
      <c r="A572" s="884">
        <v>555</v>
      </c>
      <c r="B572" s="881"/>
      <c r="D572" s="1531" t="s">
        <v>1669</v>
      </c>
      <c r="E572" s="1532"/>
      <c r="F572" s="1532"/>
      <c r="G572" s="1533"/>
      <c r="H572" s="1120">
        <f>+SUMIF('Sumaria renta 20x3'!G:G,'2516 20x3'!A572,'Sumaria renta 20x3'!C:C)</f>
        <v>0</v>
      </c>
      <c r="I572" s="1118"/>
      <c r="J572" s="842">
        <f t="shared" si="179"/>
        <v>0</v>
      </c>
      <c r="K572" s="842">
        <f t="shared" si="180"/>
        <v>0</v>
      </c>
      <c r="L572" s="842">
        <f>+SUMIF('Sumaria renta 20x3'!G:G,'2516 20x3'!A572,'Sumaria renta 20x3'!E:E)</f>
        <v>0</v>
      </c>
    </row>
    <row r="573" spans="1:12" outlineLevel="1" x14ac:dyDescent="0.2">
      <c r="A573" s="884">
        <v>556</v>
      </c>
      <c r="B573" s="881"/>
      <c r="D573" s="1531" t="s">
        <v>1779</v>
      </c>
      <c r="E573" s="1532"/>
      <c r="F573" s="1532"/>
      <c r="G573" s="1533"/>
      <c r="H573" s="1120">
        <f>+SUMIF('Sumaria renta 20x3'!G:G,'2516 20x3'!A573,'Sumaria renta 20x3'!C:C)</f>
        <v>0</v>
      </c>
      <c r="I573" s="1118"/>
      <c r="J573" s="842">
        <f t="shared" si="179"/>
        <v>0</v>
      </c>
      <c r="K573" s="842">
        <f t="shared" si="180"/>
        <v>0</v>
      </c>
      <c r="L573" s="842">
        <f>+SUMIF('Sumaria renta 20x3'!G:G,'2516 20x3'!A573,'Sumaria renta 20x3'!E:E)</f>
        <v>0</v>
      </c>
    </row>
    <row r="574" spans="1:12" outlineLevel="1" x14ac:dyDescent="0.2">
      <c r="A574" s="884">
        <v>557</v>
      </c>
      <c r="B574" s="881"/>
      <c r="D574" s="1531" t="s">
        <v>1670</v>
      </c>
      <c r="E574" s="1532"/>
      <c r="F574" s="1532"/>
      <c r="G574" s="1533"/>
      <c r="H574" s="1120">
        <f>+SUMIF('Sumaria renta 20x3'!G:G,'2516 20x3'!A574,'Sumaria renta 20x3'!C:C)</f>
        <v>0</v>
      </c>
      <c r="I574" s="1118"/>
      <c r="J574" s="842">
        <f t="shared" si="179"/>
        <v>0</v>
      </c>
      <c r="K574" s="842">
        <f t="shared" si="180"/>
        <v>0</v>
      </c>
      <c r="L574" s="842">
        <f>+SUMIF('Sumaria renta 20x3'!G:G,'2516 20x3'!A574,'Sumaria renta 20x3'!E:E)</f>
        <v>0</v>
      </c>
    </row>
    <row r="575" spans="1:12" outlineLevel="1" x14ac:dyDescent="0.2">
      <c r="A575" s="884">
        <v>558</v>
      </c>
      <c r="B575" s="881"/>
      <c r="D575" s="1531" t="s">
        <v>1429</v>
      </c>
      <c r="E575" s="1532"/>
      <c r="F575" s="1532"/>
      <c r="G575" s="1533"/>
      <c r="H575" s="1120">
        <f>+SUMIF('Sumaria renta 20x3'!G:G,'2516 20x3'!A575,'Sumaria renta 20x3'!C:C)</f>
        <v>0</v>
      </c>
      <c r="I575" s="1118"/>
      <c r="J575" s="842">
        <f t="shared" si="179"/>
        <v>0</v>
      </c>
      <c r="K575" s="842">
        <f t="shared" si="180"/>
        <v>0</v>
      </c>
      <c r="L575" s="842">
        <f>+SUMIF('Sumaria renta 20x3'!G:G,'2516 20x3'!A575,'Sumaria renta 20x3'!E:E)</f>
        <v>0</v>
      </c>
    </row>
    <row r="576" spans="1:12" ht="24" customHeight="1" outlineLevel="1" x14ac:dyDescent="0.2">
      <c r="A576" s="880">
        <v>559</v>
      </c>
      <c r="B576" s="881"/>
      <c r="D576" s="1534" t="s">
        <v>1780</v>
      </c>
      <c r="E576" s="1535"/>
      <c r="F576" s="1535"/>
      <c r="G576" s="1536"/>
      <c r="H576" s="882">
        <f>+SUM(H577:H583)</f>
        <v>0</v>
      </c>
      <c r="I576" s="882">
        <f t="shared" ref="I576:L576" si="181">+SUM(I577:I583)</f>
        <v>0</v>
      </c>
      <c r="J576" s="882">
        <f t="shared" si="181"/>
        <v>0</v>
      </c>
      <c r="K576" s="882">
        <f t="shared" si="181"/>
        <v>0</v>
      </c>
      <c r="L576" s="882">
        <f t="shared" si="181"/>
        <v>0</v>
      </c>
    </row>
    <row r="577" spans="1:13" outlineLevel="1" x14ac:dyDescent="0.2">
      <c r="A577" s="884">
        <v>560</v>
      </c>
      <c r="B577" s="881"/>
      <c r="D577" s="1531" t="s">
        <v>401</v>
      </c>
      <c r="E577" s="1532"/>
      <c r="F577" s="1532"/>
      <c r="G577" s="1533"/>
      <c r="H577" s="1120">
        <f>+SUMIF('Sumaria renta 20x3'!G:G,'2516 20x3'!A577,'Sumaria renta 20x3'!C:C)</f>
        <v>0</v>
      </c>
      <c r="I577" s="1118"/>
      <c r="J577" s="842">
        <f t="shared" ref="J577:J583" si="182">+IF((H577&gt;L577),(H577-L577),0)</f>
        <v>0</v>
      </c>
      <c r="K577" s="842">
        <f t="shared" ref="K577:K583" si="183">+IF((H577&lt;L577),(L577-H577),0)</f>
        <v>0</v>
      </c>
      <c r="L577" s="842">
        <f>+SUMIF('Sumaria renta 20x3'!G:G,'2516 20x3'!A577,'Sumaria renta 20x3'!E:E)</f>
        <v>0</v>
      </c>
    </row>
    <row r="578" spans="1:13" outlineLevel="1" x14ac:dyDescent="0.2">
      <c r="A578" s="884">
        <v>561</v>
      </c>
      <c r="B578" s="881"/>
      <c r="D578" s="1531" t="s">
        <v>1555</v>
      </c>
      <c r="E578" s="1532"/>
      <c r="F578" s="1532"/>
      <c r="G578" s="1533"/>
      <c r="H578" s="1120">
        <f>+SUMIF('Sumaria renta 20x3'!G:G,'2516 20x3'!A578,'Sumaria renta 20x3'!C:C)</f>
        <v>0</v>
      </c>
      <c r="I578" s="1118"/>
      <c r="J578" s="842">
        <f t="shared" si="182"/>
        <v>0</v>
      </c>
      <c r="K578" s="842">
        <f t="shared" si="183"/>
        <v>0</v>
      </c>
      <c r="L578" s="842">
        <f>+SUMIF('Sumaria renta 20x3'!G:G,'2516 20x3'!A578,'Sumaria renta 20x3'!E:E)</f>
        <v>0</v>
      </c>
    </row>
    <row r="579" spans="1:13" outlineLevel="1" x14ac:dyDescent="0.2">
      <c r="A579" s="884">
        <v>562</v>
      </c>
      <c r="B579" s="881"/>
      <c r="D579" s="1531" t="s">
        <v>1683</v>
      </c>
      <c r="E579" s="1532"/>
      <c r="F579" s="1532"/>
      <c r="G579" s="1533"/>
      <c r="H579" s="1120">
        <f>+SUMIF('Sumaria renta 20x3'!G:G,'2516 20x3'!A579,'Sumaria renta 20x3'!C:C)</f>
        <v>0</v>
      </c>
      <c r="I579" s="1118"/>
      <c r="J579" s="842">
        <f t="shared" si="182"/>
        <v>0</v>
      </c>
      <c r="K579" s="842">
        <f t="shared" si="183"/>
        <v>0</v>
      </c>
      <c r="L579" s="842">
        <f>+SUMIF('Sumaria renta 20x3'!G:G,'2516 20x3'!A579,'Sumaria renta 20x3'!E:E)</f>
        <v>0</v>
      </c>
    </row>
    <row r="580" spans="1:13" outlineLevel="1" x14ac:dyDescent="0.2">
      <c r="A580" s="884">
        <v>563</v>
      </c>
      <c r="B580" s="881"/>
      <c r="D580" s="1531" t="s">
        <v>1556</v>
      </c>
      <c r="E580" s="1532"/>
      <c r="F580" s="1532"/>
      <c r="G580" s="1533"/>
      <c r="H580" s="1120">
        <f>+SUMIF('Sumaria renta 20x3'!G:G,'2516 20x3'!A580,'Sumaria renta 20x3'!C:C)</f>
        <v>0</v>
      </c>
      <c r="I580" s="1118"/>
      <c r="J580" s="842">
        <f t="shared" si="182"/>
        <v>0</v>
      </c>
      <c r="K580" s="842">
        <f t="shared" si="183"/>
        <v>0</v>
      </c>
      <c r="L580" s="842">
        <f>+SUMIF('Sumaria renta 20x3'!G:G,'2516 20x3'!A580,'Sumaria renta 20x3'!E:E)</f>
        <v>0</v>
      </c>
    </row>
    <row r="581" spans="1:13" outlineLevel="1" x14ac:dyDescent="0.2">
      <c r="A581" s="884">
        <v>564</v>
      </c>
      <c r="B581" s="881"/>
      <c r="D581" s="1531" t="s">
        <v>1557</v>
      </c>
      <c r="E581" s="1532"/>
      <c r="F581" s="1532"/>
      <c r="G581" s="1533"/>
      <c r="H581" s="1120">
        <f>+SUMIF('Sumaria renta 20x3'!G:G,'2516 20x3'!A581,'Sumaria renta 20x3'!C:C)</f>
        <v>0</v>
      </c>
      <c r="I581" s="1118"/>
      <c r="J581" s="842">
        <f t="shared" si="182"/>
        <v>0</v>
      </c>
      <c r="K581" s="842">
        <f t="shared" si="183"/>
        <v>0</v>
      </c>
      <c r="L581" s="842">
        <f>+SUMIF('Sumaria renta 20x3'!G:G,'2516 20x3'!A581,'Sumaria renta 20x3'!E:E)</f>
        <v>0</v>
      </c>
    </row>
    <row r="582" spans="1:13" outlineLevel="1" x14ac:dyDescent="0.2">
      <c r="A582" s="884">
        <v>565</v>
      </c>
      <c r="B582" s="881"/>
      <c r="D582" s="1531" t="s">
        <v>1558</v>
      </c>
      <c r="E582" s="1532"/>
      <c r="F582" s="1532"/>
      <c r="G582" s="1533"/>
      <c r="H582" s="1120">
        <f>+SUMIF('Sumaria renta 20x3'!G:G,'2516 20x3'!A582,'Sumaria renta 20x3'!C:C)</f>
        <v>0</v>
      </c>
      <c r="I582" s="1118"/>
      <c r="J582" s="842">
        <f t="shared" si="182"/>
        <v>0</v>
      </c>
      <c r="K582" s="842">
        <f t="shared" si="183"/>
        <v>0</v>
      </c>
      <c r="L582" s="842">
        <f>+SUMIF('Sumaria renta 20x3'!G:G,'2516 20x3'!A582,'Sumaria renta 20x3'!E:E)</f>
        <v>0</v>
      </c>
    </row>
    <row r="583" spans="1:13" outlineLevel="1" x14ac:dyDescent="0.2">
      <c r="A583" s="884">
        <v>566</v>
      </c>
      <c r="B583" s="881"/>
      <c r="D583" s="1531" t="s">
        <v>1429</v>
      </c>
      <c r="E583" s="1532"/>
      <c r="F583" s="1532"/>
      <c r="G583" s="1533"/>
      <c r="H583" s="1120">
        <f>+SUMIF('Sumaria renta 20x3'!G:G,'2516 20x3'!A583,'Sumaria renta 20x3'!C:C)</f>
        <v>0</v>
      </c>
      <c r="I583" s="1118"/>
      <c r="J583" s="842">
        <f t="shared" si="182"/>
        <v>0</v>
      </c>
      <c r="K583" s="842">
        <f t="shared" si="183"/>
        <v>0</v>
      </c>
      <c r="L583" s="842">
        <f>+SUMIF('Sumaria renta 20x3'!G:G,'2516 20x3'!A583,'Sumaria renta 20x3'!E:E)</f>
        <v>0</v>
      </c>
    </row>
    <row r="584" spans="1:13" outlineLevel="1" x14ac:dyDescent="0.2">
      <c r="A584" s="880">
        <v>567</v>
      </c>
      <c r="B584" s="881"/>
      <c r="D584" s="1534" t="s">
        <v>150</v>
      </c>
      <c r="E584" s="1535"/>
      <c r="F584" s="1535"/>
      <c r="G584" s="1536"/>
      <c r="H584" s="890">
        <f>+SUM(H585:H589)</f>
        <v>0</v>
      </c>
      <c r="I584" s="890">
        <f t="shared" ref="I584:L584" si="184">+SUM(I585:I589)</f>
        <v>0</v>
      </c>
      <c r="J584" s="890">
        <f t="shared" si="184"/>
        <v>0</v>
      </c>
      <c r="K584" s="890">
        <f t="shared" si="184"/>
        <v>0</v>
      </c>
      <c r="L584" s="890">
        <f t="shared" si="184"/>
        <v>0</v>
      </c>
    </row>
    <row r="585" spans="1:13" ht="12.75" customHeight="1" outlineLevel="1" x14ac:dyDescent="0.2">
      <c r="A585" s="884">
        <v>568</v>
      </c>
      <c r="B585" s="881"/>
      <c r="D585" s="1531" t="s">
        <v>1689</v>
      </c>
      <c r="E585" s="1532"/>
      <c r="F585" s="1532"/>
      <c r="G585" s="1533"/>
      <c r="H585" s="1120">
        <f>+SUMIF('Sumaria renta 20x3'!G:G,'2516 20x3'!A585,'Sumaria renta 20x3'!C:C)</f>
        <v>0</v>
      </c>
      <c r="I585" s="1118"/>
      <c r="J585" s="842">
        <f t="shared" ref="J585:J588" si="185">+IF((H585&gt;L585),(H585-L585),0)</f>
        <v>0</v>
      </c>
      <c r="K585" s="842">
        <f t="shared" ref="K585:K588" si="186">+IF((H585&lt;L585),(L585-H585),0)</f>
        <v>0</v>
      </c>
      <c r="L585" s="842">
        <f>+SUMIF('Sumaria renta 20x3'!G:G,'2516 20x3'!A585,'Sumaria renta 20x3'!E:E)</f>
        <v>0</v>
      </c>
    </row>
    <row r="586" spans="1:13" ht="12.75" customHeight="1" outlineLevel="1" x14ac:dyDescent="0.2">
      <c r="A586" s="884">
        <v>569</v>
      </c>
      <c r="B586" s="881"/>
      <c r="D586" s="1531" t="s">
        <v>1690</v>
      </c>
      <c r="E586" s="1532"/>
      <c r="F586" s="1532"/>
      <c r="G586" s="1533"/>
      <c r="H586" s="1120">
        <f>+SUMIF('Sumaria renta 20x3'!G:G,'2516 20x3'!A586,'Sumaria renta 20x3'!C:C)</f>
        <v>0</v>
      </c>
      <c r="I586" s="1118"/>
      <c r="J586" s="842">
        <f t="shared" si="185"/>
        <v>0</v>
      </c>
      <c r="K586" s="842">
        <f t="shared" si="186"/>
        <v>0</v>
      </c>
      <c r="L586" s="842">
        <f>+SUMIF('Sumaria renta 20x3'!G:G,'2516 20x3'!A586,'Sumaria renta 20x3'!E:E)</f>
        <v>0</v>
      </c>
    </row>
    <row r="587" spans="1:13" outlineLevel="1" x14ac:dyDescent="0.2">
      <c r="A587" s="884">
        <v>580</v>
      </c>
      <c r="B587" s="881"/>
      <c r="D587" s="1531" t="s">
        <v>1781</v>
      </c>
      <c r="E587" s="1532"/>
      <c r="F587" s="1532"/>
      <c r="G587" s="1533"/>
      <c r="H587" s="1120">
        <f>+SUMIF('Sumaria renta 20x3'!G:G,'2516 20x3'!A587,'Sumaria renta 20x3'!C:C)</f>
        <v>0</v>
      </c>
      <c r="I587" s="1118"/>
      <c r="J587" s="842">
        <f t="shared" si="185"/>
        <v>0</v>
      </c>
      <c r="K587" s="842">
        <f t="shared" si="186"/>
        <v>0</v>
      </c>
      <c r="L587" s="842">
        <f>+SUMIF('Sumaria renta 20x3'!G:G,'2516 20x3'!A587,'Sumaria renta 20x3'!E:E)</f>
        <v>0</v>
      </c>
    </row>
    <row r="588" spans="1:13" outlineLevel="1" x14ac:dyDescent="0.2">
      <c r="A588" s="884">
        <v>570</v>
      </c>
      <c r="B588" s="881"/>
      <c r="D588" s="1531" t="s">
        <v>1429</v>
      </c>
      <c r="E588" s="1532"/>
      <c r="F588" s="1532"/>
      <c r="G588" s="1533"/>
      <c r="H588" s="1120">
        <f>+SUMIF('Sumaria renta 20x3'!G:G,'2516 20x3'!A588,'Sumaria renta 20x3'!C:C)</f>
        <v>0</v>
      </c>
      <c r="I588" s="1118"/>
      <c r="J588" s="842">
        <f t="shared" si="185"/>
        <v>0</v>
      </c>
      <c r="K588" s="842">
        <f t="shared" si="186"/>
        <v>0</v>
      </c>
      <c r="L588" s="842">
        <f>+SUMIF('Sumaria renta 20x3'!G:G,'2516 20x3'!A588,'Sumaria renta 20x3'!E:E)</f>
        <v>0</v>
      </c>
    </row>
    <row r="589" spans="1:13" outlineLevel="1" x14ac:dyDescent="0.2">
      <c r="A589" s="884">
        <v>571</v>
      </c>
      <c r="B589" s="881"/>
      <c r="D589" s="1531" t="s">
        <v>1782</v>
      </c>
      <c r="E589" s="1532"/>
      <c r="F589" s="1532"/>
      <c r="G589" s="1533"/>
      <c r="H589" s="1120">
        <f>+SUMIF('Sumaria renta 20x3'!G:G,'2516 20x3'!A589,'Sumaria renta 20x3'!C:C)</f>
        <v>0</v>
      </c>
      <c r="I589" s="1118"/>
      <c r="J589" s="842">
        <f t="shared" ref="J589" si="187">+IF((H589&gt;L589),(H589-L589),0)</f>
        <v>0</v>
      </c>
      <c r="K589" s="842">
        <f t="shared" ref="K589" si="188">+IF((H589&lt;L589),(L589-H589),0)</f>
        <v>0</v>
      </c>
      <c r="L589" s="842">
        <f>+SUMIF('Sumaria renta 20x3'!G:G,'2516 20x3'!A589,'Sumaria renta 20x3'!E:E)</f>
        <v>0</v>
      </c>
    </row>
    <row r="590" spans="1:13" outlineLevel="1" x14ac:dyDescent="0.2">
      <c r="A590" s="884">
        <v>574</v>
      </c>
      <c r="B590" s="881"/>
      <c r="D590" s="1534" t="s">
        <v>1783</v>
      </c>
      <c r="E590" s="1535"/>
      <c r="F590" s="1535"/>
      <c r="G590" s="1536"/>
      <c r="H590" s="842">
        <v>0</v>
      </c>
      <c r="I590" s="894"/>
      <c r="J590" s="846">
        <v>0</v>
      </c>
      <c r="K590" s="845"/>
      <c r="L590" s="883">
        <v>0</v>
      </c>
    </row>
    <row r="591" spans="1:13" ht="24.75" customHeight="1" outlineLevel="1" x14ac:dyDescent="0.2">
      <c r="A591" s="884">
        <v>572</v>
      </c>
      <c r="B591" s="881"/>
      <c r="D591" s="1534" t="s">
        <v>1784</v>
      </c>
      <c r="E591" s="1535"/>
      <c r="F591" s="1535"/>
      <c r="G591" s="1536"/>
      <c r="H591" s="842"/>
      <c r="I591" s="845"/>
      <c r="J591" s="842"/>
      <c r="K591" s="895">
        <v>0</v>
      </c>
      <c r="L591" s="883">
        <v>0</v>
      </c>
      <c r="M591" s="365">
        <f>+'Sumaria contabilidad'!C84-'Sumaria contabilidad'!C102-H593+'Sumaria contabilidad'!C134+'Sumaria contabilidad'!C135</f>
        <v>7084219728.4799976</v>
      </c>
    </row>
    <row r="592" spans="1:13" outlineLevel="1" x14ac:dyDescent="0.2">
      <c r="A592" s="896"/>
      <c r="B592" s="881"/>
      <c r="D592" s="1534" t="s">
        <v>1785</v>
      </c>
      <c r="E592" s="1535"/>
      <c r="F592" s="1535"/>
      <c r="G592" s="1536"/>
      <c r="H592" s="897">
        <f>+H591+H590+H584+H576+H566+H560+H557+H545+H438+H490</f>
        <v>0</v>
      </c>
      <c r="I592" s="897">
        <f t="shared" ref="I592:L592" si="189">+I591+I590+I584+I576+I566+I560+I557+I545+I438+I490</f>
        <v>0</v>
      </c>
      <c r="J592" s="897">
        <f t="shared" si="189"/>
        <v>0</v>
      </c>
      <c r="K592" s="897">
        <f t="shared" si="189"/>
        <v>0</v>
      </c>
      <c r="L592" s="897">
        <f t="shared" si="189"/>
        <v>0</v>
      </c>
      <c r="M592" s="1161">
        <f>+L592-'110 Renta 20x3'!Q51-'110 Renta 20x3'!Q53</f>
        <v>0</v>
      </c>
    </row>
    <row r="593" spans="1:13" ht="27" customHeight="1" outlineLevel="1" x14ac:dyDescent="0.2">
      <c r="A593" s="896"/>
      <c r="B593" s="881"/>
      <c r="D593" s="1534" t="s">
        <v>1786</v>
      </c>
      <c r="E593" s="1535"/>
      <c r="F593" s="1535"/>
      <c r="G593" s="1536"/>
      <c r="H593" s="887">
        <f>+H373-H436-H592</f>
        <v>0</v>
      </c>
      <c r="I593" s="887">
        <f t="shared" ref="I593:L593" si="190">+I373-I436-I592</f>
        <v>0</v>
      </c>
      <c r="J593" s="887">
        <f t="shared" si="190"/>
        <v>0</v>
      </c>
      <c r="K593" s="887">
        <f t="shared" si="190"/>
        <v>0</v>
      </c>
      <c r="L593" s="887">
        <f t="shared" si="190"/>
        <v>0</v>
      </c>
      <c r="M593" s="1161">
        <f>+L593-'110 Renta 20x3'!Q60</f>
        <v>0</v>
      </c>
    </row>
    <row r="594" spans="1:13" ht="15" customHeight="1" outlineLevel="1" x14ac:dyDescent="0.2">
      <c r="A594" s="896"/>
      <c r="B594" s="881"/>
      <c r="D594" s="1092" t="s">
        <v>2058</v>
      </c>
      <c r="E594" s="1091"/>
      <c r="F594" s="1091"/>
      <c r="G594" s="1091"/>
      <c r="H594" s="1091"/>
      <c r="I594" s="1091"/>
      <c r="J594" s="1091"/>
      <c r="K594" s="1091"/>
      <c r="L594" s="1091"/>
      <c r="M594" s="1091"/>
    </row>
    <row r="595" spans="1:13" ht="30" customHeight="1" outlineLevel="1" x14ac:dyDescent="0.2">
      <c r="A595" s="896"/>
      <c r="B595" s="881"/>
      <c r="D595" s="1560" t="s">
        <v>2059</v>
      </c>
      <c r="E595" s="1561"/>
      <c r="F595" s="1561"/>
      <c r="G595" s="1562"/>
      <c r="H595" s="1138"/>
      <c r="I595" s="899"/>
      <c r="J595" s="899"/>
      <c r="K595" s="899"/>
      <c r="L595" s="899"/>
      <c r="M595" s="900"/>
    </row>
    <row r="596" spans="1:13" ht="38.25" outlineLevel="1" x14ac:dyDescent="0.2">
      <c r="A596" s="896"/>
      <c r="B596" s="881"/>
      <c r="D596" s="901"/>
      <c r="E596" s="902"/>
      <c r="F596" s="903"/>
      <c r="G596" s="904"/>
      <c r="H596" s="904"/>
      <c r="I596" s="903"/>
      <c r="J596" s="903"/>
      <c r="K596" s="903"/>
      <c r="L596" s="905" t="s">
        <v>1787</v>
      </c>
      <c r="M596" s="906" t="s">
        <v>1788</v>
      </c>
    </row>
    <row r="597" spans="1:13" ht="24.75" customHeight="1" outlineLevel="1" x14ac:dyDescent="0.2">
      <c r="A597" s="896"/>
      <c r="B597" s="881"/>
      <c r="D597" s="1534" t="s">
        <v>2060</v>
      </c>
      <c r="E597" s="1535"/>
      <c r="F597" s="1535"/>
      <c r="G597" s="1536"/>
      <c r="H597" s="1137"/>
      <c r="I597" s="907"/>
      <c r="J597" s="907"/>
      <c r="K597" s="907"/>
      <c r="L597" s="908"/>
      <c r="M597" s="909">
        <v>0</v>
      </c>
    </row>
    <row r="598" spans="1:13" ht="22.5" customHeight="1" outlineLevel="1" x14ac:dyDescent="0.2">
      <c r="A598" s="896">
        <v>581</v>
      </c>
      <c r="B598" s="881"/>
      <c r="D598" s="1531" t="s">
        <v>1701</v>
      </c>
      <c r="E598" s="1532"/>
      <c r="F598" s="1532"/>
      <c r="G598" s="1533"/>
      <c r="I598" s="910"/>
      <c r="J598" s="910"/>
      <c r="K598" s="910"/>
      <c r="L598" s="911"/>
      <c r="M598" s="912">
        <v>0</v>
      </c>
    </row>
    <row r="599" spans="1:13" ht="22.5" customHeight="1" outlineLevel="1" x14ac:dyDescent="0.2">
      <c r="A599" s="896">
        <v>582</v>
      </c>
      <c r="B599" s="881"/>
      <c r="D599" s="1531" t="s">
        <v>1789</v>
      </c>
      <c r="E599" s="1532"/>
      <c r="F599" s="1532"/>
      <c r="G599" s="1533"/>
      <c r="I599" s="910"/>
      <c r="J599" s="910"/>
      <c r="K599" s="910"/>
      <c r="L599" s="911"/>
      <c r="M599" s="912">
        <v>0</v>
      </c>
    </row>
    <row r="600" spans="1:13" ht="22.5" customHeight="1" outlineLevel="1" x14ac:dyDescent="0.2">
      <c r="A600" s="896">
        <v>583</v>
      </c>
      <c r="B600" s="881"/>
      <c r="D600" s="1531" t="s">
        <v>1660</v>
      </c>
      <c r="E600" s="1532"/>
      <c r="F600" s="1532"/>
      <c r="G600" s="1533"/>
      <c r="I600" s="910"/>
      <c r="J600" s="910"/>
      <c r="K600" s="910"/>
      <c r="L600" s="866"/>
      <c r="M600" s="913">
        <v>0</v>
      </c>
    </row>
    <row r="601" spans="1:13" ht="22.5" customHeight="1" outlineLevel="1" x14ac:dyDescent="0.2">
      <c r="A601" s="896">
        <v>584</v>
      </c>
      <c r="B601" s="881"/>
      <c r="C601" s="1527" t="s">
        <v>1790</v>
      </c>
      <c r="D601" s="1531" t="s">
        <v>1791</v>
      </c>
      <c r="E601" s="1532"/>
      <c r="F601" s="1532"/>
      <c r="G601" s="1533"/>
      <c r="I601" s="910"/>
      <c r="J601" s="910"/>
      <c r="K601" s="910"/>
      <c r="L601" s="914"/>
      <c r="M601" s="913">
        <v>0</v>
      </c>
    </row>
    <row r="602" spans="1:13" ht="22.5" customHeight="1" outlineLevel="1" x14ac:dyDescent="0.2">
      <c r="A602" s="896">
        <v>585</v>
      </c>
      <c r="B602" s="881"/>
      <c r="C602" s="1527"/>
      <c r="D602" s="1531" t="s">
        <v>1792</v>
      </c>
      <c r="E602" s="1532"/>
      <c r="F602" s="1532"/>
      <c r="G602" s="1533"/>
      <c r="I602" s="910"/>
      <c r="J602" s="910"/>
      <c r="K602" s="910"/>
      <c r="L602" s="914"/>
      <c r="M602" s="913">
        <v>0</v>
      </c>
    </row>
    <row r="603" spans="1:13" ht="22.5" customHeight="1" outlineLevel="1" x14ac:dyDescent="0.2">
      <c r="A603" s="896">
        <v>586</v>
      </c>
      <c r="B603" s="881"/>
      <c r="C603" s="1527"/>
      <c r="D603" s="1531" t="s">
        <v>1793</v>
      </c>
      <c r="E603" s="1532"/>
      <c r="F603" s="1532"/>
      <c r="G603" s="1533"/>
      <c r="I603" s="910"/>
      <c r="J603" s="910"/>
      <c r="K603" s="910"/>
      <c r="L603" s="866"/>
      <c r="M603" s="913">
        <v>0</v>
      </c>
    </row>
    <row r="604" spans="1:13" ht="22.5" customHeight="1" outlineLevel="1" x14ac:dyDescent="0.2">
      <c r="A604" s="896">
        <v>587</v>
      </c>
      <c r="B604" s="881"/>
      <c r="C604" s="1527"/>
      <c r="D604" s="1531" t="s">
        <v>1794</v>
      </c>
      <c r="E604" s="1532"/>
      <c r="F604" s="1532"/>
      <c r="G604" s="1533"/>
      <c r="I604" s="910"/>
      <c r="J604" s="910"/>
      <c r="K604" s="910"/>
      <c r="L604" s="866"/>
      <c r="M604" s="190">
        <v>0</v>
      </c>
    </row>
    <row r="605" spans="1:13" ht="22.5" customHeight="1" outlineLevel="1" x14ac:dyDescent="0.2">
      <c r="A605" s="896">
        <v>588</v>
      </c>
      <c r="B605" s="881"/>
      <c r="C605" s="1527"/>
      <c r="D605" s="1531" t="s">
        <v>1795</v>
      </c>
      <c r="E605" s="1532"/>
      <c r="F605" s="1532"/>
      <c r="G605" s="1533"/>
      <c r="I605" s="910"/>
      <c r="J605" s="910"/>
      <c r="K605" s="910"/>
      <c r="L605" s="914"/>
      <c r="M605" s="913">
        <v>0</v>
      </c>
    </row>
    <row r="606" spans="1:13" ht="22.5" customHeight="1" outlineLevel="1" x14ac:dyDescent="0.2">
      <c r="A606" s="896">
        <v>590</v>
      </c>
      <c r="B606" s="881"/>
      <c r="C606" s="1527"/>
      <c r="D606" s="1531" t="s">
        <v>1796</v>
      </c>
      <c r="E606" s="1532"/>
      <c r="F606" s="1532"/>
      <c r="G606" s="1533"/>
      <c r="I606" s="1153"/>
      <c r="J606" s="1153"/>
      <c r="K606" s="1153"/>
      <c r="L606" s="1015"/>
      <c r="M606" s="913">
        <v>0</v>
      </c>
    </row>
    <row r="607" spans="1:13" ht="22.5" customHeight="1" outlineLevel="1" x14ac:dyDescent="0.2">
      <c r="A607" s="896">
        <v>591</v>
      </c>
      <c r="B607" s="881"/>
      <c r="C607" s="1527"/>
      <c r="D607" s="1531" t="s">
        <v>1797</v>
      </c>
      <c r="E607" s="1532"/>
      <c r="F607" s="1532"/>
      <c r="G607" s="1533"/>
      <c r="I607" s="1153"/>
      <c r="J607" s="1153"/>
      <c r="K607" s="1153"/>
      <c r="L607" s="1015"/>
      <c r="M607" s="913">
        <v>0</v>
      </c>
    </row>
    <row r="608" spans="1:13" ht="22.5" customHeight="1" outlineLevel="1" x14ac:dyDescent="0.2">
      <c r="A608" s="896">
        <v>592</v>
      </c>
      <c r="B608" s="881"/>
      <c r="C608" s="1527"/>
      <c r="D608" s="1531" t="s">
        <v>1798</v>
      </c>
      <c r="E608" s="1532"/>
      <c r="F608" s="1532"/>
      <c r="G608" s="1533"/>
      <c r="I608" s="910"/>
      <c r="J608" s="910"/>
      <c r="K608" s="910"/>
      <c r="L608" s="914"/>
      <c r="M608" s="913">
        <v>0</v>
      </c>
    </row>
    <row r="609" spans="1:13" ht="24.75" customHeight="1" outlineLevel="1" x14ac:dyDescent="0.2">
      <c r="A609" s="896"/>
      <c r="B609" s="881"/>
      <c r="D609" s="1534" t="s">
        <v>2061</v>
      </c>
      <c r="E609" s="1535"/>
      <c r="F609" s="1535"/>
      <c r="G609" s="1536"/>
      <c r="H609" s="15"/>
      <c r="I609" s="915"/>
      <c r="J609" s="915"/>
      <c r="K609" s="915"/>
      <c r="L609" s="908"/>
      <c r="M609" s="916">
        <v>0</v>
      </c>
    </row>
    <row r="610" spans="1:13" ht="24.75" customHeight="1" outlineLevel="1" x14ac:dyDescent="0.2">
      <c r="A610" s="896">
        <v>593</v>
      </c>
      <c r="B610" s="881"/>
      <c r="C610" s="1527" t="s">
        <v>1799</v>
      </c>
      <c r="D610" s="1531" t="s">
        <v>1800</v>
      </c>
      <c r="E610" s="1532"/>
      <c r="F610" s="1532"/>
      <c r="G610" s="1533"/>
      <c r="I610" s="910"/>
      <c r="J610" s="910"/>
      <c r="K610" s="910"/>
      <c r="L610" s="914"/>
      <c r="M610" s="913">
        <v>0</v>
      </c>
    </row>
    <row r="611" spans="1:13" ht="18.75" customHeight="1" outlineLevel="1" x14ac:dyDescent="0.2">
      <c r="A611" s="896">
        <v>594</v>
      </c>
      <c r="B611" s="881"/>
      <c r="C611" s="1527"/>
      <c r="D611" s="1531" t="s">
        <v>1801</v>
      </c>
      <c r="E611" s="1532"/>
      <c r="F611" s="1532"/>
      <c r="G611" s="1533"/>
      <c r="I611" s="910"/>
      <c r="J611" s="910"/>
      <c r="K611" s="910"/>
      <c r="L611" s="914"/>
      <c r="M611" s="913">
        <v>0</v>
      </c>
    </row>
    <row r="612" spans="1:13" ht="27.75" customHeight="1" outlineLevel="1" x14ac:dyDescent="0.2">
      <c r="A612" s="896">
        <v>595</v>
      </c>
      <c r="B612" s="881"/>
      <c r="C612" s="1527"/>
      <c r="D612" s="1531" t="s">
        <v>1802</v>
      </c>
      <c r="E612" s="1532"/>
      <c r="F612" s="1532"/>
      <c r="G612" s="1533"/>
      <c r="I612" s="910"/>
      <c r="J612" s="910"/>
      <c r="K612" s="910"/>
      <c r="L612" s="914"/>
      <c r="M612" s="913">
        <v>0</v>
      </c>
    </row>
    <row r="613" spans="1:13" ht="24.75" customHeight="1" outlineLevel="1" x14ac:dyDescent="0.2">
      <c r="A613" s="896">
        <v>596</v>
      </c>
      <c r="B613" s="881"/>
      <c r="C613" s="1527"/>
      <c r="D613" s="1531" t="s">
        <v>1803</v>
      </c>
      <c r="E613" s="1532"/>
      <c r="F613" s="1532"/>
      <c r="G613" s="1533"/>
      <c r="I613" s="910"/>
      <c r="J613" s="910"/>
      <c r="K613" s="910"/>
      <c r="L613" s="914"/>
      <c r="M613" s="913">
        <v>0</v>
      </c>
    </row>
    <row r="614" spans="1:13" ht="18.75" customHeight="1" outlineLevel="1" x14ac:dyDescent="0.2">
      <c r="A614" s="896">
        <v>597</v>
      </c>
      <c r="B614" s="881"/>
      <c r="C614" s="1527"/>
      <c r="D614" s="1531" t="s">
        <v>1804</v>
      </c>
      <c r="E614" s="1532"/>
      <c r="F614" s="1532"/>
      <c r="G614" s="1533"/>
      <c r="I614" s="910"/>
      <c r="J614" s="910"/>
      <c r="K614" s="910"/>
      <c r="L614" s="866"/>
      <c r="M614" s="913">
        <v>0</v>
      </c>
    </row>
    <row r="615" spans="1:13" ht="18.75" customHeight="1" outlineLevel="1" x14ac:dyDescent="0.2">
      <c r="A615" s="896">
        <v>598</v>
      </c>
      <c r="B615" s="881"/>
      <c r="C615" s="1527"/>
      <c r="D615" s="1531" t="s">
        <v>1805</v>
      </c>
      <c r="E615" s="1532"/>
      <c r="F615" s="1532"/>
      <c r="G615" s="1533"/>
      <c r="I615" s="910"/>
      <c r="J615" s="910"/>
      <c r="K615" s="910"/>
      <c r="L615" s="914"/>
      <c r="M615" s="913">
        <v>0</v>
      </c>
    </row>
    <row r="616" spans="1:13" ht="18.75" customHeight="1" outlineLevel="1" x14ac:dyDescent="0.2">
      <c r="A616" s="896">
        <v>599</v>
      </c>
      <c r="B616" s="881"/>
      <c r="C616" s="1527"/>
      <c r="D616" s="1531" t="s">
        <v>1806</v>
      </c>
      <c r="E616" s="1532"/>
      <c r="F616" s="1532"/>
      <c r="G616" s="1533"/>
      <c r="I616" s="910"/>
      <c r="J616" s="910"/>
      <c r="K616" s="910"/>
      <c r="L616" s="914"/>
      <c r="M616" s="913">
        <v>0</v>
      </c>
    </row>
    <row r="617" spans="1:13" ht="18.75" customHeight="1" outlineLevel="1" x14ac:dyDescent="0.2">
      <c r="A617" s="896">
        <v>600</v>
      </c>
      <c r="B617" s="881"/>
      <c r="C617" s="1527"/>
      <c r="D617" s="1531" t="s">
        <v>1807</v>
      </c>
      <c r="E617" s="1532"/>
      <c r="F617" s="1532"/>
      <c r="G617" s="1533"/>
      <c r="I617" s="910"/>
      <c r="J617" s="910"/>
      <c r="K617" s="910"/>
      <c r="L617" s="866"/>
      <c r="M617" s="913">
        <v>0</v>
      </c>
    </row>
    <row r="618" spans="1:13" ht="18.75" customHeight="1" outlineLevel="1" x14ac:dyDescent="0.2">
      <c r="A618" s="896">
        <v>601</v>
      </c>
      <c r="B618" s="881"/>
      <c r="C618" s="1527"/>
      <c r="D618" s="1531" t="s">
        <v>1808</v>
      </c>
      <c r="E618" s="1532"/>
      <c r="F618" s="1532"/>
      <c r="G618" s="1533"/>
      <c r="I618" s="910"/>
      <c r="J618" s="910"/>
      <c r="K618" s="910"/>
      <c r="L618" s="866"/>
      <c r="M618" s="913">
        <v>0</v>
      </c>
    </row>
    <row r="619" spans="1:13" ht="24.75" customHeight="1" outlineLevel="1" x14ac:dyDescent="0.2">
      <c r="A619" s="896">
        <v>602</v>
      </c>
      <c r="B619" s="881"/>
      <c r="C619" s="1527"/>
      <c r="D619" s="1531" t="s">
        <v>1809</v>
      </c>
      <c r="E619" s="1532"/>
      <c r="F619" s="1532"/>
      <c r="G619" s="1533"/>
      <c r="I619" s="910"/>
      <c r="J619" s="910"/>
      <c r="K619" s="910"/>
      <c r="L619" s="914"/>
      <c r="M619" s="913">
        <v>0</v>
      </c>
    </row>
    <row r="620" spans="1:13" ht="27.75" customHeight="1" outlineLevel="1" x14ac:dyDescent="0.2">
      <c r="A620" s="896">
        <v>603</v>
      </c>
      <c r="B620" s="881"/>
      <c r="C620" s="1527"/>
      <c r="D620" s="1531" t="s">
        <v>1810</v>
      </c>
      <c r="E620" s="1532"/>
      <c r="F620" s="1532"/>
      <c r="G620" s="1533"/>
      <c r="I620" s="910"/>
      <c r="J620" s="910"/>
      <c r="K620" s="910"/>
      <c r="L620" s="914"/>
      <c r="M620" s="913">
        <v>0</v>
      </c>
    </row>
    <row r="621" spans="1:13" ht="18.75" customHeight="1" outlineLevel="1" x14ac:dyDescent="0.2">
      <c r="A621" s="896">
        <v>604</v>
      </c>
      <c r="B621" s="881"/>
      <c r="C621" s="1527"/>
      <c r="D621" s="1531" t="s">
        <v>1811</v>
      </c>
      <c r="E621" s="1532"/>
      <c r="F621" s="1532"/>
      <c r="G621" s="1533"/>
      <c r="I621" s="910"/>
      <c r="J621" s="910"/>
      <c r="K621" s="910"/>
      <c r="L621" s="866"/>
      <c r="M621" s="913">
        <v>0</v>
      </c>
    </row>
    <row r="622" spans="1:13" ht="18.75" customHeight="1" outlineLevel="1" x14ac:dyDescent="0.2">
      <c r="A622" s="896">
        <v>605</v>
      </c>
      <c r="B622" s="881"/>
      <c r="C622" s="1527"/>
      <c r="D622" s="1531" t="s">
        <v>1812</v>
      </c>
      <c r="E622" s="1532"/>
      <c r="F622" s="1532"/>
      <c r="G622" s="1533"/>
      <c r="I622" s="910"/>
      <c r="J622" s="910"/>
      <c r="K622" s="910"/>
      <c r="L622" s="866"/>
      <c r="M622" s="913">
        <v>0</v>
      </c>
    </row>
    <row r="623" spans="1:13" ht="24" customHeight="1" outlineLevel="1" x14ac:dyDescent="0.2">
      <c r="A623" s="896">
        <v>606</v>
      </c>
      <c r="B623" s="881"/>
      <c r="C623" s="1527"/>
      <c r="D623" s="1531" t="s">
        <v>1813</v>
      </c>
      <c r="E623" s="1532"/>
      <c r="F623" s="1532"/>
      <c r="G623" s="1533"/>
      <c r="I623" s="910"/>
      <c r="J623" s="910"/>
      <c r="K623" s="910"/>
      <c r="L623" s="866"/>
      <c r="M623" s="913">
        <v>0</v>
      </c>
    </row>
    <row r="624" spans="1:13" ht="24" customHeight="1" outlineLevel="1" x14ac:dyDescent="0.2">
      <c r="A624" s="896">
        <v>607</v>
      </c>
      <c r="B624" s="881"/>
      <c r="C624" s="1527"/>
      <c r="D624" s="1531" t="s">
        <v>1814</v>
      </c>
      <c r="E624" s="1532"/>
      <c r="F624" s="1532"/>
      <c r="G624" s="1533"/>
      <c r="I624" s="910"/>
      <c r="J624" s="910"/>
      <c r="K624" s="910"/>
      <c r="L624" s="866"/>
      <c r="M624" s="913">
        <v>0</v>
      </c>
    </row>
    <row r="625" spans="1:13" ht="24" customHeight="1" outlineLevel="1" x14ac:dyDescent="0.2">
      <c r="A625" s="896">
        <v>608</v>
      </c>
      <c r="B625" s="881"/>
      <c r="C625" s="1527"/>
      <c r="D625" s="1531" t="s">
        <v>1815</v>
      </c>
      <c r="E625" s="1532"/>
      <c r="F625" s="1532"/>
      <c r="G625" s="1533"/>
      <c r="I625" s="910"/>
      <c r="J625" s="910"/>
      <c r="K625" s="910"/>
      <c r="L625" s="866"/>
      <c r="M625" s="913">
        <v>0</v>
      </c>
    </row>
    <row r="626" spans="1:13" ht="24" customHeight="1" outlineLevel="1" x14ac:dyDescent="0.2">
      <c r="A626" s="896">
        <v>609</v>
      </c>
      <c r="B626" s="881"/>
      <c r="C626" s="1527"/>
      <c r="D626" s="1531" t="s">
        <v>1816</v>
      </c>
      <c r="E626" s="1532"/>
      <c r="F626" s="1532"/>
      <c r="G626" s="1533"/>
      <c r="I626" s="910"/>
      <c r="J626" s="910"/>
      <c r="K626" s="910"/>
      <c r="L626" s="914"/>
      <c r="M626" s="913">
        <v>0</v>
      </c>
    </row>
    <row r="627" spans="1:13" ht="24" customHeight="1" outlineLevel="1" x14ac:dyDescent="0.2">
      <c r="A627" s="896">
        <v>610</v>
      </c>
      <c r="B627" s="881"/>
      <c r="C627" s="1527"/>
      <c r="D627" s="1531" t="s">
        <v>1817</v>
      </c>
      <c r="E627" s="1532"/>
      <c r="F627" s="1532"/>
      <c r="G627" s="1533"/>
      <c r="I627" s="910"/>
      <c r="J627" s="910"/>
      <c r="K627" s="910"/>
      <c r="L627" s="866"/>
      <c r="M627" s="913">
        <v>0</v>
      </c>
    </row>
    <row r="628" spans="1:13" ht="24" customHeight="1" outlineLevel="1" x14ac:dyDescent="0.2">
      <c r="A628" s="896">
        <v>611</v>
      </c>
      <c r="B628" s="881"/>
      <c r="C628" s="1527"/>
      <c r="D628" s="1531" t="s">
        <v>1818</v>
      </c>
      <c r="E628" s="1532"/>
      <c r="F628" s="1532"/>
      <c r="G628" s="1533"/>
      <c r="I628" s="910"/>
      <c r="J628" s="910"/>
      <c r="K628" s="910"/>
      <c r="L628" s="866"/>
      <c r="M628" s="913">
        <v>0</v>
      </c>
    </row>
    <row r="629" spans="1:13" ht="24" customHeight="1" outlineLevel="1" x14ac:dyDescent="0.2">
      <c r="A629" s="896">
        <v>612</v>
      </c>
      <c r="B629" s="881"/>
      <c r="C629" s="1527"/>
      <c r="D629" s="1531" t="s">
        <v>1819</v>
      </c>
      <c r="E629" s="1532"/>
      <c r="F629" s="1532"/>
      <c r="G629" s="1533"/>
      <c r="I629" s="910"/>
      <c r="J629" s="910"/>
      <c r="K629" s="910"/>
      <c r="L629" s="866"/>
      <c r="M629" s="913">
        <v>0</v>
      </c>
    </row>
    <row r="630" spans="1:13" ht="24" customHeight="1" outlineLevel="1" x14ac:dyDescent="0.2">
      <c r="A630" s="896">
        <v>613</v>
      </c>
      <c r="B630" s="881"/>
      <c r="C630" s="1527"/>
      <c r="D630" s="1531" t="s">
        <v>1820</v>
      </c>
      <c r="E630" s="1532"/>
      <c r="F630" s="1532"/>
      <c r="G630" s="1533"/>
      <c r="I630" s="910"/>
      <c r="J630" s="910"/>
      <c r="K630" s="910"/>
      <c r="L630" s="866"/>
      <c r="M630" s="913">
        <v>0</v>
      </c>
    </row>
    <row r="631" spans="1:13" ht="24" customHeight="1" outlineLevel="1" x14ac:dyDescent="0.2">
      <c r="A631" s="896">
        <v>614</v>
      </c>
      <c r="B631" s="881"/>
      <c r="C631" s="1527"/>
      <c r="D631" s="1531" t="s">
        <v>1821</v>
      </c>
      <c r="E631" s="1532"/>
      <c r="F631" s="1532"/>
      <c r="G631" s="1533"/>
      <c r="I631" s="910"/>
      <c r="J631" s="910"/>
      <c r="K631" s="910"/>
      <c r="L631" s="866"/>
      <c r="M631" s="913">
        <v>0</v>
      </c>
    </row>
    <row r="632" spans="1:13" ht="24" customHeight="1" outlineLevel="1" x14ac:dyDescent="0.2">
      <c r="A632" s="896">
        <v>615</v>
      </c>
      <c r="B632" s="881"/>
      <c r="C632" s="1527"/>
      <c r="D632" s="1531" t="s">
        <v>1822</v>
      </c>
      <c r="E632" s="1532"/>
      <c r="F632" s="1532"/>
      <c r="G632" s="1533"/>
      <c r="I632" s="910"/>
      <c r="J632" s="910"/>
      <c r="K632" s="910"/>
      <c r="L632" s="866"/>
      <c r="M632" s="913">
        <v>0</v>
      </c>
    </row>
    <row r="633" spans="1:13" ht="24" customHeight="1" outlineLevel="1" x14ac:dyDescent="0.2">
      <c r="A633" s="896">
        <v>616</v>
      </c>
      <c r="B633" s="881"/>
      <c r="C633" s="1527"/>
      <c r="D633" s="1531" t="s">
        <v>1823</v>
      </c>
      <c r="E633" s="1532"/>
      <c r="F633" s="1532"/>
      <c r="G633" s="1533"/>
      <c r="I633" s="910"/>
      <c r="J633" s="910"/>
      <c r="K633" s="910"/>
      <c r="L633" s="914"/>
      <c r="M633" s="913">
        <v>0</v>
      </c>
    </row>
    <row r="634" spans="1:13" ht="24" customHeight="1" outlineLevel="1" x14ac:dyDescent="0.2">
      <c r="A634" s="896">
        <v>617</v>
      </c>
      <c r="B634" s="881"/>
      <c r="C634" s="1527" t="s">
        <v>1824</v>
      </c>
      <c r="D634" s="1531" t="s">
        <v>1825</v>
      </c>
      <c r="E634" s="1532"/>
      <c r="F634" s="1532"/>
      <c r="G634" s="1533"/>
      <c r="I634" s="910"/>
      <c r="J634" s="910"/>
      <c r="K634" s="910"/>
      <c r="L634" s="914"/>
      <c r="M634" s="913">
        <v>0</v>
      </c>
    </row>
    <row r="635" spans="1:13" ht="24" customHeight="1" outlineLevel="1" x14ac:dyDescent="0.2">
      <c r="A635" s="896">
        <v>618</v>
      </c>
      <c r="B635" s="881"/>
      <c r="C635" s="1527"/>
      <c r="D635" s="1531" t="s">
        <v>1826</v>
      </c>
      <c r="E635" s="1532"/>
      <c r="F635" s="1532"/>
      <c r="G635" s="1533"/>
      <c r="I635" s="910"/>
      <c r="J635" s="910"/>
      <c r="K635" s="910"/>
      <c r="L635" s="914"/>
      <c r="M635" s="913">
        <v>0</v>
      </c>
    </row>
    <row r="636" spans="1:13" ht="24" customHeight="1" outlineLevel="1" x14ac:dyDescent="0.2">
      <c r="A636" s="896">
        <v>619</v>
      </c>
      <c r="B636" s="881"/>
      <c r="C636" s="1527"/>
      <c r="D636" s="1531" t="s">
        <v>1827</v>
      </c>
      <c r="E636" s="1532"/>
      <c r="F636" s="1532"/>
      <c r="G636" s="1533"/>
      <c r="I636" s="910"/>
      <c r="J636" s="910"/>
      <c r="K636" s="910"/>
      <c r="L636" s="917"/>
      <c r="M636" s="918">
        <v>0</v>
      </c>
    </row>
    <row r="637" spans="1:13" ht="24" customHeight="1" outlineLevel="1" x14ac:dyDescent="0.2">
      <c r="A637" s="896">
        <v>620</v>
      </c>
      <c r="B637" s="881"/>
      <c r="C637" s="1527"/>
      <c r="D637" s="1531" t="s">
        <v>1828</v>
      </c>
      <c r="E637" s="1532"/>
      <c r="F637" s="1532"/>
      <c r="G637" s="1533"/>
      <c r="I637" s="910"/>
      <c r="J637" s="910"/>
      <c r="K637" s="910"/>
      <c r="L637" s="917"/>
      <c r="M637" s="918">
        <v>0</v>
      </c>
    </row>
    <row r="638" spans="1:13" ht="24" customHeight="1" outlineLevel="1" x14ac:dyDescent="0.2">
      <c r="A638" s="896">
        <v>621</v>
      </c>
      <c r="B638" s="881"/>
      <c r="C638" s="1527"/>
      <c r="D638" s="1531" t="s">
        <v>1829</v>
      </c>
      <c r="E638" s="1532"/>
      <c r="F638" s="1532"/>
      <c r="G638" s="1533"/>
      <c r="I638" s="910"/>
      <c r="J638" s="910"/>
      <c r="K638" s="910"/>
      <c r="L638" s="914"/>
      <c r="M638" s="913">
        <v>0</v>
      </c>
    </row>
    <row r="639" spans="1:13" ht="24" customHeight="1" outlineLevel="1" x14ac:dyDescent="0.2">
      <c r="A639" s="896">
        <v>622</v>
      </c>
      <c r="B639" s="881"/>
      <c r="C639" s="1527"/>
      <c r="D639" s="1531" t="s">
        <v>1797</v>
      </c>
      <c r="E639" s="1532"/>
      <c r="F639" s="1532"/>
      <c r="G639" s="1533"/>
      <c r="I639" s="910"/>
      <c r="J639" s="910"/>
      <c r="K639" s="910"/>
      <c r="L639" s="866"/>
      <c r="M639" s="913">
        <v>0</v>
      </c>
    </row>
    <row r="640" spans="1:13" ht="24" customHeight="1" outlineLevel="1" x14ac:dyDescent="0.2">
      <c r="A640" s="896">
        <v>623</v>
      </c>
      <c r="B640" s="881"/>
      <c r="C640" s="1527"/>
      <c r="D640" s="1531" t="s">
        <v>1830</v>
      </c>
      <c r="E640" s="1532"/>
      <c r="F640" s="1532"/>
      <c r="G640" s="1533"/>
      <c r="I640" s="910"/>
      <c r="J640" s="910"/>
      <c r="K640" s="910"/>
      <c r="L640" s="866"/>
      <c r="M640" s="913">
        <v>0</v>
      </c>
    </row>
    <row r="641" spans="1:13" outlineLevel="1" x14ac:dyDescent="0.2">
      <c r="A641" s="896">
        <v>624</v>
      </c>
      <c r="B641" s="881"/>
      <c r="D641" s="1093" t="s">
        <v>1831</v>
      </c>
      <c r="E641" s="919"/>
      <c r="F641" s="919"/>
      <c r="G641" s="919"/>
      <c r="H641" s="919"/>
      <c r="I641" s="919"/>
      <c r="J641" s="919"/>
      <c r="K641" s="919"/>
      <c r="L641" s="920"/>
      <c r="M641" s="921">
        <v>0</v>
      </c>
    </row>
    <row r="642" spans="1:13" outlineLevel="1" x14ac:dyDescent="0.2">
      <c r="A642" s="896">
        <v>625</v>
      </c>
      <c r="B642" s="881"/>
      <c r="D642" s="1094" t="s">
        <v>1832</v>
      </c>
      <c r="E642" s="922"/>
      <c r="F642" s="922"/>
      <c r="G642" s="922"/>
      <c r="H642" s="922"/>
      <c r="I642" s="922"/>
      <c r="J642" s="922"/>
      <c r="K642" s="922"/>
      <c r="L642" s="922"/>
      <c r="M642" s="923"/>
    </row>
    <row r="643" spans="1:13" ht="24.75" customHeight="1" outlineLevel="1" x14ac:dyDescent="0.2">
      <c r="A643" s="896">
        <v>626</v>
      </c>
      <c r="B643" s="924"/>
      <c r="D643" s="1534" t="s">
        <v>2062</v>
      </c>
      <c r="E643" s="1535"/>
      <c r="F643" s="1535"/>
      <c r="G643" s="1536"/>
      <c r="I643" s="915"/>
      <c r="J643" s="915"/>
      <c r="K643" s="925" t="s">
        <v>1833</v>
      </c>
      <c r="L643" s="925" t="s">
        <v>1834</v>
      </c>
      <c r="M643" s="926"/>
    </row>
    <row r="644" spans="1:13" outlineLevel="1" x14ac:dyDescent="0.2">
      <c r="A644" s="896">
        <v>627</v>
      </c>
      <c r="B644" s="924"/>
      <c r="C644" s="1527" t="s">
        <v>1835</v>
      </c>
      <c r="D644" s="1531" t="s">
        <v>143</v>
      </c>
      <c r="E644" s="1532"/>
      <c r="F644" s="1532"/>
      <c r="G644" s="1533"/>
      <c r="I644" s="927"/>
      <c r="J644" s="927"/>
      <c r="K644" s="928"/>
      <c r="L644" s="928"/>
      <c r="M644" s="845"/>
    </row>
    <row r="645" spans="1:13" outlineLevel="1" x14ac:dyDescent="0.2">
      <c r="A645" s="896">
        <v>628</v>
      </c>
      <c r="B645" s="924"/>
      <c r="C645" s="1527"/>
      <c r="D645" s="1531" t="s">
        <v>431</v>
      </c>
      <c r="E645" s="1532"/>
      <c r="F645" s="1532"/>
      <c r="G645" s="1533"/>
      <c r="I645" s="927"/>
      <c r="J645" s="927"/>
      <c r="K645" s="929"/>
      <c r="L645" s="929"/>
      <c r="M645" s="845"/>
    </row>
    <row r="646" spans="1:13" outlineLevel="1" x14ac:dyDescent="0.2">
      <c r="A646" s="896">
        <v>629</v>
      </c>
      <c r="B646" s="924"/>
      <c r="C646" s="1527"/>
      <c r="D646" s="1531" t="s">
        <v>813</v>
      </c>
      <c r="E646" s="1532"/>
      <c r="F646" s="1532"/>
      <c r="G646" s="1533"/>
      <c r="I646" s="927"/>
      <c r="J646" s="927"/>
      <c r="K646" s="929"/>
      <c r="L646" s="929"/>
      <c r="M646" s="845"/>
    </row>
    <row r="647" spans="1:13" outlineLevel="1" x14ac:dyDescent="0.2">
      <c r="A647" s="896">
        <v>630</v>
      </c>
      <c r="B647" s="924"/>
      <c r="C647" s="1527"/>
      <c r="D647" s="1531" t="s">
        <v>1674</v>
      </c>
      <c r="E647" s="1532"/>
      <c r="F647" s="1532"/>
      <c r="G647" s="1533"/>
      <c r="I647" s="927"/>
      <c r="J647" s="927"/>
      <c r="K647" s="929"/>
      <c r="L647" s="929"/>
      <c r="M647" s="845"/>
    </row>
    <row r="648" spans="1:13" outlineLevel="1" x14ac:dyDescent="0.2">
      <c r="A648" s="896">
        <v>631</v>
      </c>
      <c r="B648" s="924"/>
      <c r="C648" s="1527"/>
      <c r="D648" s="1531" t="s">
        <v>1675</v>
      </c>
      <c r="E648" s="1532"/>
      <c r="F648" s="1532"/>
      <c r="G648" s="1533"/>
      <c r="I648" s="927"/>
      <c r="J648" s="927"/>
      <c r="K648" s="929"/>
      <c r="L648" s="929"/>
      <c r="M648" s="845"/>
    </row>
    <row r="649" spans="1:13" outlineLevel="1" x14ac:dyDescent="0.2">
      <c r="A649" s="896">
        <v>632</v>
      </c>
      <c r="B649" s="924"/>
      <c r="C649" s="1527"/>
      <c r="D649" s="1531" t="s">
        <v>1731</v>
      </c>
      <c r="E649" s="1532"/>
      <c r="F649" s="1532"/>
      <c r="G649" s="1533"/>
      <c r="I649" s="927"/>
      <c r="J649" s="927"/>
      <c r="K649" s="928"/>
      <c r="L649" s="928"/>
      <c r="M649" s="845"/>
    </row>
    <row r="650" spans="1:13" outlineLevel="1" x14ac:dyDescent="0.2">
      <c r="A650" s="896">
        <v>633</v>
      </c>
      <c r="B650" s="924"/>
      <c r="C650" s="1527"/>
      <c r="D650" s="1531" t="s">
        <v>1676</v>
      </c>
      <c r="E650" s="1532"/>
      <c r="F650" s="1532"/>
      <c r="G650" s="1533"/>
      <c r="I650" s="927"/>
      <c r="J650" s="927"/>
      <c r="K650" s="929"/>
      <c r="L650" s="929"/>
      <c r="M650" s="845"/>
    </row>
    <row r="651" spans="1:13" outlineLevel="1" x14ac:dyDescent="0.2">
      <c r="A651" s="896">
        <v>634</v>
      </c>
      <c r="B651" s="924"/>
      <c r="C651" s="1527"/>
      <c r="D651" s="1531" t="s">
        <v>1732</v>
      </c>
      <c r="E651" s="1532"/>
      <c r="F651" s="1532"/>
      <c r="G651" s="1533"/>
      <c r="I651" s="927"/>
      <c r="J651" s="927"/>
      <c r="K651" s="929"/>
      <c r="L651" s="929"/>
      <c r="M651" s="845"/>
    </row>
    <row r="652" spans="1:13" outlineLevel="1" x14ac:dyDescent="0.2">
      <c r="A652" s="896">
        <v>635</v>
      </c>
      <c r="B652" s="924"/>
      <c r="C652" s="1527"/>
      <c r="D652" s="1531" t="s">
        <v>1678</v>
      </c>
      <c r="E652" s="1532"/>
      <c r="F652" s="1532"/>
      <c r="G652" s="1533"/>
      <c r="I652" s="927"/>
      <c r="J652" s="927"/>
      <c r="K652" s="929"/>
      <c r="L652" s="929"/>
      <c r="M652" s="845"/>
    </row>
    <row r="653" spans="1:13" outlineLevel="1" x14ac:dyDescent="0.2">
      <c r="A653" s="896">
        <v>636</v>
      </c>
      <c r="B653" s="924"/>
      <c r="C653" s="1527"/>
      <c r="D653" s="1531" t="s">
        <v>1679</v>
      </c>
      <c r="E653" s="1532"/>
      <c r="F653" s="1532"/>
      <c r="G653" s="1533"/>
      <c r="I653" s="927"/>
      <c r="J653" s="927"/>
      <c r="K653" s="929"/>
      <c r="L653" s="929"/>
      <c r="M653" s="845"/>
    </row>
    <row r="654" spans="1:13" outlineLevel="1" x14ac:dyDescent="0.2">
      <c r="A654" s="896">
        <v>637</v>
      </c>
      <c r="B654" s="924"/>
      <c r="C654" s="1527"/>
      <c r="D654" s="1531" t="s">
        <v>1733</v>
      </c>
      <c r="E654" s="1532"/>
      <c r="F654" s="1532"/>
      <c r="G654" s="1533"/>
      <c r="I654" s="927"/>
      <c r="J654" s="927"/>
      <c r="K654" s="929"/>
      <c r="L654" s="929"/>
      <c r="M654" s="845"/>
    </row>
    <row r="655" spans="1:13" outlineLevel="1" x14ac:dyDescent="0.2">
      <c r="A655" s="896">
        <v>638</v>
      </c>
      <c r="B655" s="924"/>
      <c r="C655" s="1527"/>
      <c r="D655" s="1531" t="s">
        <v>1836</v>
      </c>
      <c r="E655" s="1532"/>
      <c r="F655" s="1532"/>
      <c r="G655" s="1533"/>
      <c r="I655" s="927"/>
      <c r="J655" s="927"/>
      <c r="K655" s="929"/>
      <c r="L655" s="929"/>
      <c r="M655" s="845"/>
    </row>
    <row r="656" spans="1:13" outlineLevel="1" x14ac:dyDescent="0.2">
      <c r="A656" s="896">
        <v>639</v>
      </c>
      <c r="B656" s="924"/>
      <c r="C656" s="1527" t="s">
        <v>1837</v>
      </c>
      <c r="D656" s="1531" t="s">
        <v>431</v>
      </c>
      <c r="E656" s="1532"/>
      <c r="F656" s="1532"/>
      <c r="G656" s="1533"/>
      <c r="I656" s="927"/>
      <c r="J656" s="927"/>
      <c r="K656" s="929"/>
      <c r="L656" s="929"/>
      <c r="M656" s="845"/>
    </row>
    <row r="657" spans="1:13" outlineLevel="1" x14ac:dyDescent="0.2">
      <c r="A657" s="896">
        <v>640</v>
      </c>
      <c r="B657" s="924"/>
      <c r="C657" s="1527"/>
      <c r="D657" s="1531" t="s">
        <v>59</v>
      </c>
      <c r="E657" s="1532"/>
      <c r="F657" s="1532"/>
      <c r="G657" s="1533"/>
      <c r="I657" s="927"/>
      <c r="J657" s="927"/>
      <c r="K657" s="929"/>
      <c r="L657" s="929"/>
      <c r="M657" s="845"/>
    </row>
    <row r="658" spans="1:13" outlineLevel="1" x14ac:dyDescent="0.2">
      <c r="A658" s="896">
        <v>641</v>
      </c>
      <c r="B658" s="924"/>
      <c r="C658" s="1527"/>
      <c r="D658" s="1531" t="s">
        <v>72</v>
      </c>
      <c r="E658" s="1532"/>
      <c r="F658" s="1532"/>
      <c r="G658" s="1533"/>
      <c r="I658" s="927"/>
      <c r="J658" s="927"/>
      <c r="K658" s="929"/>
      <c r="L658" s="929"/>
      <c r="M658" s="845"/>
    </row>
    <row r="659" spans="1:13" outlineLevel="1" x14ac:dyDescent="0.2">
      <c r="A659" s="896">
        <v>642</v>
      </c>
      <c r="B659" s="924"/>
      <c r="C659" s="1527"/>
      <c r="D659" s="1531" t="s">
        <v>1677</v>
      </c>
      <c r="E659" s="1532"/>
      <c r="F659" s="1532"/>
      <c r="G659" s="1533"/>
      <c r="I659" s="927"/>
      <c r="J659" s="927"/>
      <c r="K659" s="929"/>
      <c r="L659" s="929"/>
      <c r="M659" s="845"/>
    </row>
    <row r="660" spans="1:13" outlineLevel="1" x14ac:dyDescent="0.2">
      <c r="A660" s="896">
        <v>643</v>
      </c>
      <c r="B660" s="924"/>
      <c r="C660" s="1527"/>
      <c r="D660" s="1531" t="s">
        <v>1160</v>
      </c>
      <c r="E660" s="1532"/>
      <c r="F660" s="1532"/>
      <c r="G660" s="1533"/>
      <c r="I660" s="927"/>
      <c r="J660" s="927"/>
      <c r="K660" s="929"/>
      <c r="L660" s="929"/>
      <c r="M660" s="845"/>
    </row>
    <row r="661" spans="1:13" outlineLevel="1" x14ac:dyDescent="0.2">
      <c r="A661" s="896">
        <v>644</v>
      </c>
      <c r="B661" s="924"/>
      <c r="D661" s="1531" t="s">
        <v>1838</v>
      </c>
      <c r="E661" s="1532"/>
      <c r="F661" s="1532"/>
      <c r="G661" s="1533"/>
      <c r="I661" s="927"/>
      <c r="J661" s="927"/>
      <c r="K661" s="929"/>
      <c r="L661" s="929"/>
      <c r="M661" s="845"/>
    </row>
    <row r="662" spans="1:13" outlineLevel="1" x14ac:dyDescent="0.2">
      <c r="A662" s="896">
        <v>645</v>
      </c>
      <c r="B662" s="924"/>
      <c r="C662" s="1527" t="s">
        <v>1839</v>
      </c>
      <c r="D662" s="1531" t="s">
        <v>59</v>
      </c>
      <c r="E662" s="1532"/>
      <c r="F662" s="1532"/>
      <c r="G662" s="1533"/>
      <c r="I662" s="931"/>
      <c r="J662" s="931"/>
      <c r="K662" s="928"/>
      <c r="L662" s="928"/>
      <c r="M662" s="845"/>
    </row>
    <row r="663" spans="1:13" outlineLevel="1" x14ac:dyDescent="0.2">
      <c r="A663" s="896">
        <v>646</v>
      </c>
      <c r="B663" s="924"/>
      <c r="C663" s="1527"/>
      <c r="D663" s="1531" t="s">
        <v>1664</v>
      </c>
      <c r="E663" s="1532"/>
      <c r="F663" s="1532"/>
      <c r="G663" s="1533"/>
      <c r="I663" s="931"/>
      <c r="J663" s="931"/>
      <c r="K663" s="928"/>
      <c r="L663" s="928"/>
      <c r="M663" s="845"/>
    </row>
    <row r="664" spans="1:13" outlineLevel="1" x14ac:dyDescent="0.2">
      <c r="A664" s="896">
        <v>647</v>
      </c>
      <c r="B664" s="924"/>
      <c r="C664" s="1527"/>
      <c r="D664" s="1531" t="s">
        <v>1840</v>
      </c>
      <c r="E664" s="1532"/>
      <c r="F664" s="1532"/>
      <c r="G664" s="1533"/>
      <c r="I664" s="931"/>
      <c r="J664" s="931"/>
      <c r="K664" s="928"/>
      <c r="L664" s="932"/>
      <c r="M664" s="845"/>
    </row>
    <row r="665" spans="1:13" outlineLevel="1" x14ac:dyDescent="0.2">
      <c r="A665" s="896">
        <v>648</v>
      </c>
      <c r="B665" s="924"/>
      <c r="D665" s="1531" t="s">
        <v>1841</v>
      </c>
      <c r="E665" s="1532"/>
      <c r="F665" s="1532"/>
      <c r="G665" s="1533"/>
      <c r="I665" s="927"/>
      <c r="J665" s="927"/>
      <c r="K665" s="928"/>
      <c r="L665" s="932"/>
      <c r="M665" s="845"/>
    </row>
    <row r="666" spans="1:13" outlineLevel="1" x14ac:dyDescent="0.2">
      <c r="A666" s="896">
        <v>649</v>
      </c>
      <c r="B666" s="924"/>
      <c r="D666" s="1531" t="s">
        <v>1842</v>
      </c>
      <c r="E666" s="1532"/>
      <c r="F666" s="1532"/>
      <c r="G666" s="1533"/>
      <c r="I666" s="927"/>
      <c r="J666" s="927"/>
      <c r="K666" s="928"/>
      <c r="L666" s="928"/>
      <c r="M666" s="845"/>
    </row>
    <row r="667" spans="1:13" outlineLevel="1" x14ac:dyDescent="0.2">
      <c r="A667" s="896">
        <v>650</v>
      </c>
      <c r="B667" s="924"/>
      <c r="D667" s="1531" t="s">
        <v>1843</v>
      </c>
      <c r="E667" s="1532"/>
      <c r="F667" s="1532"/>
      <c r="G667" s="1533"/>
      <c r="I667" s="927"/>
      <c r="J667" s="927"/>
      <c r="K667" s="928"/>
      <c r="L667" s="928"/>
      <c r="M667" s="845"/>
    </row>
    <row r="668" spans="1:13" outlineLevel="1" x14ac:dyDescent="0.2">
      <c r="A668" s="896">
        <v>651</v>
      </c>
      <c r="B668" s="924"/>
      <c r="D668" s="1531" t="s">
        <v>1844</v>
      </c>
      <c r="E668" s="1532"/>
      <c r="F668" s="1532"/>
      <c r="G668" s="1533"/>
      <c r="I668" s="927"/>
      <c r="J668" s="927"/>
      <c r="K668" s="928"/>
      <c r="L668" s="928"/>
      <c r="M668" s="845"/>
    </row>
    <row r="669" spans="1:13" outlineLevel="1" x14ac:dyDescent="0.2">
      <c r="A669" s="896">
        <v>652</v>
      </c>
      <c r="B669" s="924"/>
      <c r="D669" s="1531" t="s">
        <v>1845</v>
      </c>
      <c r="E669" s="1532"/>
      <c r="F669" s="1532"/>
      <c r="G669" s="1533"/>
      <c r="I669" s="927"/>
      <c r="J669" s="927"/>
      <c r="K669" s="928"/>
      <c r="L669" s="928"/>
      <c r="M669" s="845"/>
    </row>
    <row r="670" spans="1:13" outlineLevel="1" x14ac:dyDescent="0.2">
      <c r="A670" s="896">
        <v>653</v>
      </c>
      <c r="B670" s="924"/>
      <c r="D670" s="1531" t="s">
        <v>1846</v>
      </c>
      <c r="E670" s="1532"/>
      <c r="F670" s="1532"/>
      <c r="G670" s="1533"/>
      <c r="I670" s="927"/>
      <c r="J670" s="927"/>
      <c r="K670" s="928"/>
      <c r="L670" s="928"/>
      <c r="M670" s="845"/>
    </row>
    <row r="671" spans="1:13" outlineLevel="1" x14ac:dyDescent="0.2">
      <c r="A671" s="896">
        <v>654</v>
      </c>
      <c r="B671" s="924"/>
      <c r="D671" s="1531" t="s">
        <v>1847</v>
      </c>
      <c r="E671" s="1532"/>
      <c r="F671" s="1532"/>
      <c r="G671" s="1533"/>
      <c r="I671" s="927"/>
      <c r="J671" s="927"/>
      <c r="K671" s="932"/>
      <c r="L671" s="932"/>
      <c r="M671" s="845"/>
    </row>
    <row r="672" spans="1:13" outlineLevel="1" x14ac:dyDescent="0.2">
      <c r="A672" s="896">
        <v>655</v>
      </c>
      <c r="B672" s="924"/>
      <c r="D672" s="1531" t="s">
        <v>1848</v>
      </c>
      <c r="E672" s="1532"/>
      <c r="F672" s="1532"/>
      <c r="G672" s="1533"/>
      <c r="I672" s="927"/>
      <c r="J672" s="927"/>
      <c r="K672" s="928"/>
      <c r="L672" s="928"/>
      <c r="M672" s="845"/>
    </row>
    <row r="673" spans="1:13" outlineLevel="1" x14ac:dyDescent="0.2">
      <c r="A673" s="896">
        <v>656</v>
      </c>
      <c r="B673" s="924"/>
      <c r="D673" s="1531" t="s">
        <v>1849</v>
      </c>
      <c r="E673" s="1532"/>
      <c r="F673" s="1532"/>
      <c r="G673" s="1533"/>
      <c r="I673" s="927"/>
      <c r="J673" s="927"/>
      <c r="K673" s="928"/>
      <c r="L673" s="928"/>
      <c r="M673" s="845"/>
    </row>
    <row r="674" spans="1:13" outlineLevel="1" x14ac:dyDescent="0.2">
      <c r="A674" s="896">
        <v>657</v>
      </c>
      <c r="B674" s="924"/>
      <c r="D674" s="1531" t="s">
        <v>1850</v>
      </c>
      <c r="E674" s="1532"/>
      <c r="F674" s="1532"/>
      <c r="G674" s="1533"/>
      <c r="I674" s="927"/>
      <c r="J674" s="927"/>
      <c r="K674" s="928"/>
      <c r="L674" s="928"/>
      <c r="M674" s="845"/>
    </row>
    <row r="675" spans="1:13" outlineLevel="1" x14ac:dyDescent="0.2">
      <c r="A675" s="896">
        <v>658</v>
      </c>
      <c r="B675" s="924"/>
      <c r="D675" s="1531" t="s">
        <v>1851</v>
      </c>
      <c r="E675" s="1532"/>
      <c r="F675" s="1532"/>
      <c r="G675" s="1533"/>
      <c r="I675" s="927"/>
      <c r="J675" s="927"/>
      <c r="K675" s="928"/>
      <c r="L675" s="928"/>
      <c r="M675" s="845"/>
    </row>
    <row r="676" spans="1:13" outlineLevel="1" x14ac:dyDescent="0.2">
      <c r="A676" s="896">
        <v>659</v>
      </c>
      <c r="B676" s="924"/>
      <c r="D676" s="1531" t="s">
        <v>1852</v>
      </c>
      <c r="E676" s="1532"/>
      <c r="F676" s="1532"/>
      <c r="G676" s="1533"/>
      <c r="I676" s="927"/>
      <c r="J676" s="927"/>
      <c r="K676" s="928"/>
      <c r="L676" s="928"/>
      <c r="M676" s="845"/>
    </row>
    <row r="677" spans="1:13" outlineLevel="1" x14ac:dyDescent="0.2">
      <c r="A677" s="896">
        <v>660</v>
      </c>
      <c r="B677" s="924"/>
      <c r="D677" s="1531" t="s">
        <v>1853</v>
      </c>
      <c r="E677" s="1532"/>
      <c r="F677" s="1532"/>
      <c r="G677" s="1533"/>
      <c r="I677" s="927"/>
      <c r="J677" s="927"/>
      <c r="K677" s="928"/>
      <c r="L677" s="928"/>
      <c r="M677" s="845"/>
    </row>
    <row r="678" spans="1:13" outlineLevel="1" x14ac:dyDescent="0.2">
      <c r="A678" s="896">
        <v>661</v>
      </c>
      <c r="B678" s="924"/>
      <c r="D678" s="1531" t="s">
        <v>1854</v>
      </c>
      <c r="E678" s="1532"/>
      <c r="F678" s="1532"/>
      <c r="G678" s="1533"/>
      <c r="I678" s="927"/>
      <c r="J678" s="927"/>
      <c r="K678" s="928"/>
      <c r="L678" s="928"/>
      <c r="M678" s="845"/>
    </row>
    <row r="679" spans="1:13" outlineLevel="1" x14ac:dyDescent="0.2">
      <c r="A679" s="896">
        <v>662</v>
      </c>
      <c r="B679" s="924"/>
      <c r="D679" s="1531" t="s">
        <v>1855</v>
      </c>
      <c r="E679" s="1532"/>
      <c r="F679" s="1532"/>
      <c r="G679" s="1533"/>
      <c r="I679" s="927"/>
      <c r="J679" s="927"/>
      <c r="K679" s="928"/>
      <c r="L679" s="928"/>
      <c r="M679" s="845"/>
    </row>
    <row r="680" spans="1:13" outlineLevel="1" x14ac:dyDescent="0.2">
      <c r="A680" s="896">
        <v>663</v>
      </c>
      <c r="B680" s="924"/>
      <c r="D680" s="1534" t="s">
        <v>1856</v>
      </c>
      <c r="E680" s="1535"/>
      <c r="F680" s="1535"/>
      <c r="G680" s="1536"/>
      <c r="I680" s="864"/>
      <c r="J680" s="864"/>
      <c r="K680" s="933">
        <v>0</v>
      </c>
      <c r="L680" s="933">
        <v>0</v>
      </c>
      <c r="M680" s="934"/>
    </row>
    <row r="681" spans="1:13" ht="30.75" customHeight="1" outlineLevel="1" x14ac:dyDescent="0.2">
      <c r="A681" s="896">
        <v>664</v>
      </c>
      <c r="B681" s="924"/>
      <c r="D681" s="1534" t="s">
        <v>2063</v>
      </c>
      <c r="E681" s="1535"/>
      <c r="F681" s="1535"/>
      <c r="G681" s="1536"/>
      <c r="I681" s="915"/>
      <c r="J681" s="915"/>
      <c r="K681" s="925" t="s">
        <v>1857</v>
      </c>
      <c r="L681" s="925" t="s">
        <v>1858</v>
      </c>
      <c r="M681" s="934"/>
    </row>
    <row r="682" spans="1:13" outlineLevel="1" x14ac:dyDescent="0.2">
      <c r="A682" s="896">
        <v>665</v>
      </c>
      <c r="B682" s="924"/>
      <c r="C682" s="1527" t="s">
        <v>1859</v>
      </c>
      <c r="D682" s="1531" t="s">
        <v>1860</v>
      </c>
      <c r="E682" s="1532"/>
      <c r="F682" s="1532"/>
      <c r="G682" s="1533"/>
      <c r="I682" s="931"/>
      <c r="J682" s="931"/>
      <c r="K682" s="932"/>
      <c r="L682" s="928"/>
      <c r="M682" s="845"/>
    </row>
    <row r="683" spans="1:13" outlineLevel="1" x14ac:dyDescent="0.2">
      <c r="A683" s="896">
        <v>666</v>
      </c>
      <c r="B683" s="924"/>
      <c r="C683" s="1527"/>
      <c r="D683" s="1531" t="s">
        <v>1861</v>
      </c>
      <c r="E683" s="1532"/>
      <c r="F683" s="1532"/>
      <c r="G683" s="1533"/>
      <c r="I683" s="931"/>
      <c r="J683" s="931"/>
      <c r="K683" s="932"/>
      <c r="L683" s="928"/>
      <c r="M683" s="845"/>
    </row>
    <row r="684" spans="1:13" outlineLevel="1" x14ac:dyDescent="0.2">
      <c r="A684" s="896">
        <v>667</v>
      </c>
      <c r="B684" s="924"/>
      <c r="C684" s="1527"/>
      <c r="D684" s="1531" t="s">
        <v>1862</v>
      </c>
      <c r="E684" s="1532"/>
      <c r="F684" s="1532"/>
      <c r="G684" s="1533"/>
      <c r="I684" s="931"/>
      <c r="J684" s="931"/>
      <c r="K684" s="932"/>
      <c r="L684" s="928"/>
      <c r="M684" s="845"/>
    </row>
    <row r="685" spans="1:13" outlineLevel="1" x14ac:dyDescent="0.2">
      <c r="A685" s="896">
        <v>668</v>
      </c>
      <c r="B685" s="924"/>
      <c r="C685" s="1527"/>
      <c r="D685" s="1531" t="s">
        <v>1429</v>
      </c>
      <c r="E685" s="1532"/>
      <c r="F685" s="1532"/>
      <c r="G685" s="1533"/>
      <c r="I685" s="931"/>
      <c r="J685" s="931"/>
      <c r="K685" s="932"/>
      <c r="L685" s="928"/>
      <c r="M685" s="845"/>
    </row>
    <row r="686" spans="1:13" outlineLevel="1" x14ac:dyDescent="0.2">
      <c r="A686" s="896">
        <v>669</v>
      </c>
      <c r="B686" s="924"/>
      <c r="C686" s="1527" t="s">
        <v>1863</v>
      </c>
      <c r="D686" s="1531" t="s">
        <v>1860</v>
      </c>
      <c r="E686" s="1532"/>
      <c r="F686" s="1532"/>
      <c r="G686" s="1533"/>
      <c r="I686" s="931"/>
      <c r="J686" s="931"/>
      <c r="K686" s="932"/>
      <c r="L686" s="928"/>
      <c r="M686" s="845"/>
    </row>
    <row r="687" spans="1:13" outlineLevel="1" x14ac:dyDescent="0.2">
      <c r="A687" s="896">
        <v>670</v>
      </c>
      <c r="B687" s="924"/>
      <c r="C687" s="1527"/>
      <c r="D687" s="1531" t="s">
        <v>1861</v>
      </c>
      <c r="E687" s="1532"/>
      <c r="F687" s="1532"/>
      <c r="G687" s="1533"/>
      <c r="I687" s="931"/>
      <c r="J687" s="931"/>
      <c r="K687" s="932"/>
      <c r="L687" s="928"/>
      <c r="M687" s="845"/>
    </row>
    <row r="688" spans="1:13" outlineLevel="1" x14ac:dyDescent="0.2">
      <c r="A688" s="896">
        <v>671</v>
      </c>
      <c r="B688" s="924"/>
      <c r="C688" s="1527"/>
      <c r="D688" s="1531" t="s">
        <v>1864</v>
      </c>
      <c r="E688" s="1532"/>
      <c r="F688" s="1532"/>
      <c r="G688" s="1533"/>
      <c r="I688" s="931"/>
      <c r="J688" s="931"/>
      <c r="K688" s="932"/>
      <c r="L688" s="928"/>
      <c r="M688" s="845"/>
    </row>
    <row r="689" spans="1:13" outlineLevel="1" x14ac:dyDescent="0.2">
      <c r="A689" s="896">
        <v>672</v>
      </c>
      <c r="B689" s="924"/>
      <c r="C689" s="1527"/>
      <c r="D689" s="1531" t="s">
        <v>1429</v>
      </c>
      <c r="E689" s="1532"/>
      <c r="F689" s="1532"/>
      <c r="G689" s="1533"/>
      <c r="I689" s="931"/>
      <c r="J689" s="931"/>
      <c r="K689" s="932"/>
      <c r="L689" s="928"/>
      <c r="M689" s="845"/>
    </row>
    <row r="690" spans="1:13" outlineLevel="1" x14ac:dyDescent="0.2">
      <c r="A690" s="896">
        <v>673</v>
      </c>
      <c r="B690" s="924"/>
      <c r="C690" s="1527" t="s">
        <v>1865</v>
      </c>
      <c r="D690" s="1531" t="s">
        <v>1666</v>
      </c>
      <c r="E690" s="1532"/>
      <c r="F690" s="1532"/>
      <c r="G690" s="1533"/>
      <c r="I690" s="927"/>
      <c r="J690" s="927"/>
      <c r="K690" s="928"/>
      <c r="L690" s="928"/>
      <c r="M690" s="845"/>
    </row>
    <row r="691" spans="1:13" outlineLevel="1" x14ac:dyDescent="0.2">
      <c r="A691" s="896">
        <v>674</v>
      </c>
      <c r="B691" s="924"/>
      <c r="C691" s="1527"/>
      <c r="D691" s="1531" t="s">
        <v>1664</v>
      </c>
      <c r="E691" s="1532"/>
      <c r="F691" s="1532"/>
      <c r="G691" s="1533"/>
      <c r="I691" s="931"/>
      <c r="J691" s="931"/>
      <c r="K691" s="928"/>
      <c r="L691" s="928"/>
      <c r="M691" s="845"/>
    </row>
    <row r="692" spans="1:13" outlineLevel="1" x14ac:dyDescent="0.2">
      <c r="A692" s="896">
        <v>675</v>
      </c>
      <c r="B692" s="924"/>
      <c r="C692" s="1527"/>
      <c r="D692" s="1531" t="s">
        <v>1866</v>
      </c>
      <c r="E692" s="1532"/>
      <c r="F692" s="1532"/>
      <c r="G692" s="1533"/>
      <c r="I692" s="931"/>
      <c r="J692" s="931"/>
      <c r="K692" s="928"/>
      <c r="L692" s="928"/>
      <c r="M692" s="845"/>
    </row>
    <row r="693" spans="1:13" outlineLevel="1" x14ac:dyDescent="0.2">
      <c r="A693" s="896">
        <v>676</v>
      </c>
      <c r="B693" s="924"/>
      <c r="C693" s="1141"/>
      <c r="D693" s="1531" t="s">
        <v>1867</v>
      </c>
      <c r="E693" s="1532"/>
      <c r="F693" s="1532"/>
      <c r="G693" s="1533"/>
      <c r="I693" s="931"/>
      <c r="J693" s="931"/>
      <c r="K693" s="928"/>
      <c r="L693" s="928"/>
      <c r="M693" s="845"/>
    </row>
    <row r="694" spans="1:13" outlineLevel="1" x14ac:dyDescent="0.2">
      <c r="A694" s="896">
        <v>677</v>
      </c>
      <c r="B694" s="924"/>
      <c r="C694" s="1142"/>
      <c r="D694" s="1531" t="s">
        <v>1868</v>
      </c>
      <c r="E694" s="1532"/>
      <c r="F694" s="1532"/>
      <c r="G694" s="1533"/>
      <c r="I694" s="927"/>
      <c r="J694" s="927"/>
      <c r="K694" s="928"/>
      <c r="L694" s="928"/>
      <c r="M694" s="845"/>
    </row>
    <row r="695" spans="1:13" outlineLevel="1" x14ac:dyDescent="0.2">
      <c r="A695" s="896">
        <v>678</v>
      </c>
      <c r="B695" s="924"/>
      <c r="C695" s="1142"/>
      <c r="D695" s="1531" t="s">
        <v>1869</v>
      </c>
      <c r="E695" s="1532"/>
      <c r="F695" s="1532"/>
      <c r="G695" s="1533"/>
      <c r="I695" s="927"/>
      <c r="J695" s="927"/>
      <c r="K695" s="928"/>
      <c r="L695" s="928"/>
      <c r="M695" s="845"/>
    </row>
    <row r="696" spans="1:13" outlineLevel="1" x14ac:dyDescent="0.2">
      <c r="A696" s="896">
        <v>679</v>
      </c>
      <c r="B696" s="924"/>
      <c r="C696" s="1142"/>
      <c r="D696" s="1531" t="s">
        <v>1870</v>
      </c>
      <c r="E696" s="1532"/>
      <c r="F696" s="1532"/>
      <c r="G696" s="1533"/>
      <c r="I696" s="931"/>
      <c r="J696" s="931"/>
      <c r="K696" s="928"/>
      <c r="L696" s="928"/>
      <c r="M696" s="845"/>
    </row>
    <row r="697" spans="1:13" outlineLevel="1" x14ac:dyDescent="0.2">
      <c r="A697" s="896">
        <v>680</v>
      </c>
      <c r="B697" s="924"/>
      <c r="C697" s="1142"/>
      <c r="D697" s="1531" t="s">
        <v>1871</v>
      </c>
      <c r="E697" s="1532"/>
      <c r="F697" s="1532"/>
      <c r="G697" s="1533"/>
      <c r="I697" s="927"/>
      <c r="J697" s="927"/>
      <c r="K697" s="928"/>
      <c r="L697" s="928"/>
      <c r="M697" s="845"/>
    </row>
    <row r="698" spans="1:13" outlineLevel="1" x14ac:dyDescent="0.2">
      <c r="A698" s="896">
        <v>681</v>
      </c>
      <c r="B698" s="924"/>
      <c r="C698" s="1142"/>
      <c r="D698" s="1534" t="s">
        <v>1872</v>
      </c>
      <c r="E698" s="1535"/>
      <c r="F698" s="1535"/>
      <c r="G698" s="1536"/>
      <c r="I698" s="864"/>
      <c r="J698" s="864"/>
      <c r="K698" s="933">
        <v>0</v>
      </c>
      <c r="L698" s="933">
        <v>0</v>
      </c>
      <c r="M698" s="934"/>
    </row>
    <row r="699" spans="1:13" outlineLevel="1" x14ac:dyDescent="0.2">
      <c r="A699" s="896">
        <v>682</v>
      </c>
      <c r="B699" s="924"/>
      <c r="C699" s="1143"/>
      <c r="D699" s="1534" t="s">
        <v>1873</v>
      </c>
      <c r="E699" s="1535"/>
      <c r="F699" s="1535"/>
      <c r="G699" s="1536"/>
      <c r="I699" s="1492" t="s">
        <v>1874</v>
      </c>
      <c r="J699" s="1492"/>
      <c r="K699" s="1492"/>
      <c r="L699" s="1492" t="s">
        <v>1875</v>
      </c>
      <c r="M699" s="1492"/>
    </row>
    <row r="700" spans="1:13" outlineLevel="1" x14ac:dyDescent="0.2">
      <c r="A700" s="896">
        <v>683</v>
      </c>
      <c r="B700" s="924"/>
      <c r="I700" s="905" t="s">
        <v>1876</v>
      </c>
      <c r="J700" s="905"/>
      <c r="K700" s="925" t="s">
        <v>1877</v>
      </c>
      <c r="L700" s="925" t="s">
        <v>1878</v>
      </c>
      <c r="M700" s="935" t="s">
        <v>1879</v>
      </c>
    </row>
    <row r="701" spans="1:13" outlineLevel="1" x14ac:dyDescent="0.2">
      <c r="A701" s="896">
        <v>684</v>
      </c>
      <c r="B701" s="924"/>
      <c r="C701" s="1527" t="s">
        <v>1880</v>
      </c>
      <c r="D701" s="1531" t="s">
        <v>1881</v>
      </c>
      <c r="E701" s="1532"/>
      <c r="F701" s="1532"/>
      <c r="G701" s="1533"/>
      <c r="I701" s="936"/>
      <c r="J701" s="937"/>
      <c r="K701" s="938"/>
      <c r="L701" s="938"/>
      <c r="M701" s="939"/>
    </row>
    <row r="702" spans="1:13" outlineLevel="1" x14ac:dyDescent="0.2">
      <c r="A702" s="896">
        <v>685</v>
      </c>
      <c r="B702" s="924"/>
      <c r="C702" s="1527"/>
      <c r="D702" s="1531" t="s">
        <v>1882</v>
      </c>
      <c r="E702" s="1532"/>
      <c r="F702" s="1532"/>
      <c r="G702" s="1533"/>
      <c r="I702" s="936"/>
      <c r="J702" s="937"/>
      <c r="K702" s="938"/>
      <c r="L702" s="938"/>
      <c r="M702" s="939"/>
    </row>
    <row r="703" spans="1:13" outlineLevel="1" x14ac:dyDescent="0.2">
      <c r="A703" s="896">
        <v>686</v>
      </c>
      <c r="B703" s="924"/>
      <c r="C703" s="1527"/>
      <c r="D703" s="1531" t="s">
        <v>1883</v>
      </c>
      <c r="E703" s="1532"/>
      <c r="F703" s="1532"/>
      <c r="G703" s="1533"/>
      <c r="I703" s="936"/>
      <c r="J703" s="937"/>
      <c r="K703" s="913"/>
      <c r="L703" s="913"/>
      <c r="M703" s="939"/>
    </row>
    <row r="704" spans="1:13" outlineLevel="1" x14ac:dyDescent="0.2">
      <c r="A704" s="896">
        <v>687</v>
      </c>
      <c r="B704" s="924"/>
      <c r="C704" s="1527" t="s">
        <v>1884</v>
      </c>
      <c r="D704" s="1531" t="s">
        <v>1885</v>
      </c>
      <c r="E704" s="1532"/>
      <c r="F704" s="1532"/>
      <c r="G704" s="1533"/>
      <c r="I704" s="936"/>
      <c r="J704" s="937"/>
      <c r="K704" s="913"/>
      <c r="L704" s="913"/>
      <c r="M704" s="939"/>
    </row>
    <row r="705" spans="1:13" outlineLevel="1" x14ac:dyDescent="0.2">
      <c r="A705" s="896">
        <v>688</v>
      </c>
      <c r="B705" s="924"/>
      <c r="C705" s="1527"/>
      <c r="D705" s="1531" t="s">
        <v>1886</v>
      </c>
      <c r="E705" s="1532"/>
      <c r="F705" s="1532"/>
      <c r="G705" s="1533"/>
      <c r="I705" s="936"/>
      <c r="J705" s="937"/>
      <c r="K705" s="913"/>
      <c r="L705" s="913"/>
      <c r="M705" s="939"/>
    </row>
    <row r="706" spans="1:13" outlineLevel="1" x14ac:dyDescent="0.2">
      <c r="A706" s="896">
        <v>689</v>
      </c>
      <c r="B706" s="881"/>
      <c r="C706" s="1141"/>
      <c r="D706" s="1531" t="s">
        <v>1887</v>
      </c>
      <c r="E706" s="1532"/>
      <c r="F706" s="1532"/>
      <c r="G706" s="1533"/>
      <c r="I706" s="1154"/>
      <c r="J706" s="1155"/>
      <c r="K706" s="913"/>
      <c r="L706" s="913"/>
      <c r="M706" s="939"/>
    </row>
    <row r="707" spans="1:13" outlineLevel="1" x14ac:dyDescent="0.2">
      <c r="A707" s="896">
        <v>690</v>
      </c>
      <c r="B707" s="881"/>
      <c r="C707" s="1142"/>
      <c r="D707" s="1531" t="s">
        <v>1888</v>
      </c>
      <c r="E707" s="1532"/>
      <c r="F707" s="1532"/>
      <c r="G707" s="1533"/>
      <c r="I707" s="866"/>
      <c r="J707" s="940"/>
      <c r="K707" s="913"/>
      <c r="L707" s="913"/>
      <c r="M707" s="939"/>
    </row>
    <row r="708" spans="1:13" outlineLevel="1" x14ac:dyDescent="0.2">
      <c r="A708" s="896">
        <v>691</v>
      </c>
      <c r="B708" s="881"/>
      <c r="C708" s="1142"/>
      <c r="D708" s="1531" t="s">
        <v>1889</v>
      </c>
      <c r="E708" s="1532"/>
      <c r="F708" s="1532"/>
      <c r="G708" s="1533"/>
      <c r="I708" s="866"/>
      <c r="J708" s="940"/>
      <c r="K708" s="913"/>
      <c r="L708" s="913"/>
      <c r="M708" s="939"/>
    </row>
    <row r="709" spans="1:13" outlineLevel="1" x14ac:dyDescent="0.2">
      <c r="A709" s="896">
        <v>692</v>
      </c>
      <c r="B709" s="881"/>
      <c r="C709" s="1142"/>
      <c r="D709" s="1534" t="s">
        <v>1890</v>
      </c>
      <c r="E709" s="1535"/>
      <c r="F709" s="1535"/>
      <c r="G709" s="1536"/>
      <c r="I709" s="933">
        <v>0</v>
      </c>
      <c r="J709" s="933"/>
      <c r="K709" s="933">
        <v>0</v>
      </c>
      <c r="L709" s="933">
        <v>0</v>
      </c>
      <c r="M709" s="933">
        <v>0</v>
      </c>
    </row>
    <row r="710" spans="1:13" outlineLevel="1" x14ac:dyDescent="0.2">
      <c r="A710" s="896">
        <v>693</v>
      </c>
      <c r="B710" s="881"/>
      <c r="C710" s="1142"/>
      <c r="D710" s="1534" t="s">
        <v>1891</v>
      </c>
      <c r="E710" s="1535"/>
      <c r="F710" s="1535"/>
      <c r="G710" s="1536"/>
      <c r="I710" s="941"/>
      <c r="J710" s="941"/>
      <c r="K710" s="942" t="e">
        <v>#VALUE!</v>
      </c>
      <c r="L710" s="943"/>
      <c r="M710" s="898">
        <v>0</v>
      </c>
    </row>
    <row r="711" spans="1:13" outlineLevel="1" x14ac:dyDescent="0.2">
      <c r="A711" s="896">
        <v>694</v>
      </c>
      <c r="B711" s="881"/>
      <c r="C711" s="1142"/>
      <c r="D711" s="1534" t="s">
        <v>1892</v>
      </c>
      <c r="E711" s="1535"/>
      <c r="F711" s="1535"/>
      <c r="G711" s="1536"/>
      <c r="I711" s="941"/>
      <c r="J711" s="941"/>
      <c r="K711" s="941"/>
      <c r="L711" s="943"/>
      <c r="M711" s="898">
        <v>0</v>
      </c>
    </row>
    <row r="712" spans="1:13" outlineLevel="1" x14ac:dyDescent="0.2">
      <c r="A712" s="944"/>
      <c r="B712" s="881"/>
      <c r="C712" s="1143"/>
      <c r="D712" s="1534" t="s">
        <v>1893</v>
      </c>
      <c r="E712" s="1535"/>
      <c r="F712" s="1535"/>
      <c r="G712" s="1536"/>
      <c r="I712" s="945"/>
      <c r="J712" s="945"/>
      <c r="K712" s="945"/>
      <c r="L712" s="946"/>
      <c r="M712" s="947"/>
    </row>
    <row r="713" spans="1:13" outlineLevel="1" x14ac:dyDescent="0.2">
      <c r="A713" s="944"/>
      <c r="C713" s="1527" t="s">
        <v>1894</v>
      </c>
      <c r="D713" s="1531" t="s">
        <v>1895</v>
      </c>
      <c r="E713" s="1532"/>
      <c r="F713" s="1532"/>
      <c r="G713" s="1533"/>
      <c r="I713" s="948"/>
      <c r="J713" s="948"/>
      <c r="K713" s="948"/>
      <c r="L713" s="949"/>
      <c r="M713" s="950">
        <v>0</v>
      </c>
    </row>
    <row r="714" spans="1:13" outlineLevel="1" x14ac:dyDescent="0.2">
      <c r="A714" s="944"/>
      <c r="C714" s="1527"/>
      <c r="D714" s="1531" t="s">
        <v>1896</v>
      </c>
      <c r="E714" s="1532"/>
      <c r="F714" s="1532"/>
      <c r="G714" s="1533"/>
      <c r="I714" s="948"/>
      <c r="J714" s="948"/>
      <c r="K714" s="948"/>
      <c r="L714" s="949"/>
      <c r="M714" s="950">
        <v>0</v>
      </c>
    </row>
    <row r="715" spans="1:13" outlineLevel="1" x14ac:dyDescent="0.2">
      <c r="A715" s="951"/>
      <c r="B715" s="952"/>
      <c r="D715" s="1534" t="s">
        <v>1897</v>
      </c>
      <c r="E715" s="1535"/>
      <c r="F715" s="1535"/>
      <c r="G715" s="1536"/>
      <c r="I715" s="953"/>
      <c r="J715" s="953"/>
      <c r="K715" s="953"/>
      <c r="L715" s="953"/>
      <c r="M715" s="954"/>
    </row>
    <row r="716" spans="1:13" outlineLevel="1" x14ac:dyDescent="0.2">
      <c r="A716" s="951"/>
      <c r="C716" s="1527" t="s">
        <v>1631</v>
      </c>
      <c r="D716" s="1531" t="s">
        <v>1898</v>
      </c>
      <c r="E716" s="1532"/>
      <c r="F716" s="1532"/>
      <c r="G716" s="1533"/>
      <c r="I716" s="955"/>
      <c r="J716" s="955"/>
      <c r="K716" s="955"/>
      <c r="L716" s="956">
        <v>0</v>
      </c>
      <c r="M716" s="957">
        <v>0</v>
      </c>
    </row>
    <row r="717" spans="1:13" outlineLevel="1" x14ac:dyDescent="0.2">
      <c r="A717" s="951"/>
      <c r="B717" s="1109"/>
      <c r="C717" s="1527"/>
      <c r="D717" s="1531" t="s">
        <v>1899</v>
      </c>
      <c r="E717" s="1532"/>
      <c r="F717" s="1532"/>
      <c r="G717" s="1533"/>
      <c r="I717" s="955"/>
      <c r="J717" s="955"/>
      <c r="K717" s="955"/>
      <c r="L717" s="956">
        <v>0</v>
      </c>
      <c r="M717" s="957">
        <v>0</v>
      </c>
    </row>
    <row r="718" spans="1:13" outlineLevel="1" x14ac:dyDescent="0.2">
      <c r="A718" s="951"/>
      <c r="B718" s="1109"/>
      <c r="C718" s="1527"/>
      <c r="D718" s="1531" t="s">
        <v>1900</v>
      </c>
      <c r="E718" s="1532"/>
      <c r="F718" s="1532"/>
      <c r="G718" s="1533"/>
      <c r="I718" s="955"/>
      <c r="J718" s="955"/>
      <c r="K718" s="955"/>
      <c r="L718" s="956">
        <v>0</v>
      </c>
      <c r="M718" s="957">
        <v>0</v>
      </c>
    </row>
    <row r="719" spans="1:13" outlineLevel="1" x14ac:dyDescent="0.2">
      <c r="A719" s="951"/>
      <c r="B719" s="1109"/>
      <c r="C719" s="1527"/>
      <c r="D719" s="1531" t="s">
        <v>1901</v>
      </c>
      <c r="E719" s="1532"/>
      <c r="F719" s="1532"/>
      <c r="G719" s="1533"/>
      <c r="I719" s="955"/>
      <c r="J719" s="955"/>
      <c r="K719" s="955"/>
      <c r="L719" s="956">
        <v>0</v>
      </c>
      <c r="M719" s="957">
        <v>0</v>
      </c>
    </row>
    <row r="720" spans="1:13" outlineLevel="1" x14ac:dyDescent="0.2">
      <c r="A720" s="951"/>
      <c r="B720" s="1109"/>
      <c r="C720" s="1527"/>
      <c r="D720" s="1531" t="s">
        <v>1902</v>
      </c>
      <c r="E720" s="1532"/>
      <c r="F720" s="1532"/>
      <c r="G720" s="1533"/>
      <c r="I720" s="955"/>
      <c r="J720" s="955"/>
      <c r="K720" s="955"/>
      <c r="L720" s="956">
        <v>0</v>
      </c>
      <c r="M720" s="957">
        <v>0</v>
      </c>
    </row>
    <row r="721" spans="1:13" outlineLevel="1" x14ac:dyDescent="0.2">
      <c r="A721" s="951"/>
      <c r="B721" s="1109"/>
      <c r="C721" s="1527"/>
      <c r="D721" s="1531" t="s">
        <v>1903</v>
      </c>
      <c r="E721" s="1532"/>
      <c r="F721" s="1532"/>
      <c r="G721" s="1533"/>
      <c r="I721" s="955"/>
      <c r="J721" s="955"/>
      <c r="K721" s="955"/>
      <c r="L721" s="956">
        <v>0</v>
      </c>
      <c r="M721" s="957">
        <v>0</v>
      </c>
    </row>
    <row r="722" spans="1:13" outlineLevel="1" x14ac:dyDescent="0.2">
      <c r="A722" s="951"/>
      <c r="B722" s="1109"/>
      <c r="C722" s="1527"/>
      <c r="D722" s="1531" t="s">
        <v>1329</v>
      </c>
      <c r="E722" s="1532"/>
      <c r="F722" s="1532"/>
      <c r="G722" s="1533"/>
      <c r="I722" s="955"/>
      <c r="J722" s="955"/>
      <c r="K722" s="955"/>
      <c r="L722" s="956">
        <v>0</v>
      </c>
      <c r="M722" s="957">
        <v>0</v>
      </c>
    </row>
    <row r="723" spans="1:13" outlineLevel="1" x14ac:dyDescent="0.2">
      <c r="A723" s="951"/>
      <c r="B723" s="1109"/>
      <c r="D723" s="1534" t="s">
        <v>1317</v>
      </c>
      <c r="E723" s="1535"/>
      <c r="F723" s="1535"/>
      <c r="G723" s="1536"/>
      <c r="I723" s="958">
        <v>0</v>
      </c>
      <c r="J723" s="958"/>
      <c r="K723" s="958"/>
      <c r="L723" s="958"/>
      <c r="M723" s="958">
        <v>0</v>
      </c>
    </row>
    <row r="724" spans="1:13" outlineLevel="1" x14ac:dyDescent="0.2">
      <c r="A724" s="951"/>
      <c r="B724" s="952"/>
      <c r="D724" s="1531" t="s">
        <v>1197</v>
      </c>
      <c r="E724" s="1532"/>
      <c r="F724" s="1532"/>
      <c r="G724" s="1533"/>
      <c r="I724" s="955"/>
      <c r="J724" s="955"/>
      <c r="K724" s="955"/>
      <c r="L724" s="956">
        <v>0</v>
      </c>
      <c r="M724" s="957">
        <v>0</v>
      </c>
    </row>
    <row r="725" spans="1:13" outlineLevel="1" x14ac:dyDescent="0.2">
      <c r="A725" s="951"/>
      <c r="B725" s="952"/>
      <c r="D725" s="1531" t="s">
        <v>1904</v>
      </c>
      <c r="E725" s="1532"/>
      <c r="F725" s="1532"/>
      <c r="G725" s="1533"/>
      <c r="I725" s="959"/>
      <c r="J725" s="959"/>
      <c r="K725" s="959"/>
      <c r="L725" s="960">
        <v>0</v>
      </c>
      <c r="M725" s="957">
        <v>0</v>
      </c>
    </row>
    <row r="726" spans="1:13" outlineLevel="1" x14ac:dyDescent="0.2">
      <c r="A726" s="951"/>
      <c r="B726" s="952"/>
      <c r="D726" s="1534" t="s">
        <v>1905</v>
      </c>
      <c r="E726" s="1535"/>
      <c r="F726" s="1535"/>
      <c r="G726" s="1536"/>
      <c r="I726" s="958">
        <v>0</v>
      </c>
      <c r="J726" s="961"/>
      <c r="K726" s="961"/>
      <c r="L726" s="962"/>
      <c r="M726" s="912">
        <v>0</v>
      </c>
    </row>
    <row r="727" spans="1:13" outlineLevel="1" x14ac:dyDescent="0.2">
      <c r="A727" s="963">
        <v>950</v>
      </c>
      <c r="B727" s="952"/>
      <c r="C727" s="964"/>
      <c r="D727" s="1534" t="s">
        <v>1906</v>
      </c>
      <c r="E727" s="1535"/>
      <c r="F727" s="1535"/>
      <c r="G727" s="1536"/>
      <c r="I727" s="190">
        <v>0</v>
      </c>
      <c r="J727" s="965"/>
      <c r="K727" s="965"/>
      <c r="L727" s="966"/>
      <c r="M727" s="912">
        <v>0</v>
      </c>
    </row>
    <row r="728" spans="1:13" outlineLevel="1" x14ac:dyDescent="0.2">
      <c r="A728" s="951"/>
      <c r="B728" s="952"/>
      <c r="C728" s="1141"/>
      <c r="D728" s="1534" t="s">
        <v>1907</v>
      </c>
      <c r="E728" s="1535"/>
      <c r="F728" s="1535"/>
      <c r="G728" s="1536"/>
      <c r="I728" s="967"/>
      <c r="J728" s="968"/>
      <c r="K728" s="968"/>
      <c r="L728" s="969"/>
      <c r="M728" s="190">
        <v>0</v>
      </c>
    </row>
    <row r="729" spans="1:13" outlineLevel="1" x14ac:dyDescent="0.2">
      <c r="A729" s="951"/>
      <c r="B729" s="952"/>
      <c r="C729" s="1142"/>
      <c r="D729" s="1534" t="s">
        <v>1908</v>
      </c>
      <c r="E729" s="1535"/>
      <c r="F729" s="1535"/>
      <c r="G729" s="1536"/>
      <c r="I729" s="967"/>
      <c r="J729" s="968"/>
      <c r="K729" s="968"/>
      <c r="L729" s="969"/>
      <c r="M729" s="190">
        <v>0</v>
      </c>
    </row>
    <row r="730" spans="1:13" outlineLevel="1" x14ac:dyDescent="0.2">
      <c r="A730" s="896">
        <v>695</v>
      </c>
      <c r="B730" s="881"/>
      <c r="C730" s="1142"/>
      <c r="D730" s="1534" t="s">
        <v>1030</v>
      </c>
      <c r="E730" s="1535"/>
      <c r="F730" s="1535"/>
      <c r="G730" s="1536"/>
      <c r="I730" s="1156"/>
      <c r="J730" s="1156"/>
      <c r="K730" s="1156"/>
      <c r="L730" s="1157"/>
      <c r="M730" s="970"/>
    </row>
    <row r="731" spans="1:13" outlineLevel="1" x14ac:dyDescent="0.2">
      <c r="A731" s="971">
        <v>696</v>
      </c>
      <c r="B731" s="881"/>
      <c r="C731" s="1525"/>
      <c r="D731" s="1531" t="s">
        <v>1909</v>
      </c>
      <c r="E731" s="1532"/>
      <c r="F731" s="1532"/>
      <c r="G731" s="1533"/>
      <c r="I731" s="927"/>
      <c r="J731" s="927"/>
      <c r="K731" s="927"/>
      <c r="L731" s="927"/>
      <c r="M731" s="932"/>
    </row>
    <row r="732" spans="1:13" outlineLevel="1" x14ac:dyDescent="0.2">
      <c r="A732" s="971">
        <v>697</v>
      </c>
      <c r="B732" s="881"/>
      <c r="C732" s="1525"/>
      <c r="D732" s="1531" t="s">
        <v>1910</v>
      </c>
      <c r="E732" s="1532"/>
      <c r="F732" s="1532"/>
      <c r="G732" s="1533"/>
      <c r="I732" s="927"/>
      <c r="J732" s="927"/>
      <c r="K732" s="927"/>
      <c r="L732" s="927"/>
      <c r="M732" s="932"/>
    </row>
    <row r="733" spans="1:13" outlineLevel="1" x14ac:dyDescent="0.2">
      <c r="A733" s="944"/>
      <c r="B733" s="881"/>
      <c r="C733" s="1142"/>
      <c r="D733" s="1534" t="s">
        <v>1911</v>
      </c>
      <c r="E733" s="1535"/>
      <c r="F733" s="1535"/>
      <c r="G733" s="1536"/>
      <c r="I733" s="1002"/>
      <c r="J733" s="1002"/>
      <c r="K733" s="1002"/>
      <c r="L733" s="1002"/>
      <c r="M733" s="970"/>
    </row>
    <row r="734" spans="1:13" outlineLevel="1" x14ac:dyDescent="0.2">
      <c r="A734" s="896">
        <v>698</v>
      </c>
      <c r="B734" s="881"/>
      <c r="C734" s="1142"/>
      <c r="D734" s="1534" t="s">
        <v>1912</v>
      </c>
      <c r="E734" s="1535"/>
      <c r="F734" s="1535"/>
      <c r="G734" s="1536"/>
      <c r="I734" s="1002"/>
      <c r="J734" s="1002"/>
      <c r="K734" s="1002"/>
      <c r="L734" s="1002"/>
      <c r="M734" s="970"/>
    </row>
    <row r="735" spans="1:13" outlineLevel="1" x14ac:dyDescent="0.2">
      <c r="A735" s="896">
        <v>699</v>
      </c>
      <c r="B735" s="881"/>
      <c r="C735" s="1143"/>
      <c r="D735" s="1531" t="s">
        <v>1913</v>
      </c>
      <c r="E735" s="1532"/>
      <c r="F735" s="1532"/>
      <c r="G735" s="1533"/>
      <c r="I735" s="927"/>
      <c r="J735" s="927"/>
      <c r="K735" s="927"/>
      <c r="L735" s="927"/>
      <c r="M735" s="932">
        <v>0</v>
      </c>
    </row>
    <row r="736" spans="1:13" outlineLevel="1" x14ac:dyDescent="0.2">
      <c r="A736" s="896">
        <v>700</v>
      </c>
      <c r="B736" s="924"/>
      <c r="C736" s="1550" t="s">
        <v>1914</v>
      </c>
      <c r="D736" s="1531" t="s">
        <v>1915</v>
      </c>
      <c r="E736" s="1532"/>
      <c r="F736" s="1532"/>
      <c r="G736" s="1533"/>
      <c r="I736" s="927"/>
      <c r="J736" s="927"/>
      <c r="K736" s="927"/>
      <c r="L736" s="927"/>
      <c r="M736" s="932"/>
    </row>
    <row r="737" spans="1:13" outlineLevel="1" x14ac:dyDescent="0.2">
      <c r="A737" s="896">
        <v>701</v>
      </c>
      <c r="B737" s="924"/>
      <c r="C737" s="1551"/>
      <c r="D737" s="1531" t="s">
        <v>1916</v>
      </c>
      <c r="E737" s="1532"/>
      <c r="F737" s="1532"/>
      <c r="G737" s="1533"/>
      <c r="I737" s="927"/>
      <c r="J737" s="927"/>
      <c r="K737" s="927"/>
      <c r="L737" s="927"/>
      <c r="M737" s="932"/>
    </row>
    <row r="738" spans="1:13" outlineLevel="1" x14ac:dyDescent="0.2">
      <c r="A738" s="896">
        <v>702</v>
      </c>
      <c r="B738" s="924"/>
      <c r="C738" s="1551"/>
      <c r="D738" s="1531" t="s">
        <v>1917</v>
      </c>
      <c r="E738" s="1532"/>
      <c r="F738" s="1532"/>
      <c r="G738" s="1533"/>
      <c r="I738" s="927"/>
      <c r="J738" s="927"/>
      <c r="K738" s="927"/>
      <c r="L738" s="927"/>
      <c r="M738" s="932"/>
    </row>
    <row r="739" spans="1:13" outlineLevel="1" x14ac:dyDescent="0.2">
      <c r="A739" s="896">
        <v>703</v>
      </c>
      <c r="B739" s="924"/>
      <c r="C739" s="1551"/>
      <c r="D739" s="1531" t="s">
        <v>1918</v>
      </c>
      <c r="E739" s="1532"/>
      <c r="F739" s="1532"/>
      <c r="G739" s="1533"/>
      <c r="I739" s="927"/>
      <c r="J739" s="927"/>
      <c r="K739" s="927"/>
      <c r="L739" s="927"/>
      <c r="M739" s="932"/>
    </row>
    <row r="740" spans="1:13" outlineLevel="1" x14ac:dyDescent="0.2">
      <c r="A740" s="896">
        <v>704</v>
      </c>
      <c r="B740" s="924"/>
      <c r="C740" s="1552"/>
      <c r="D740" s="1531" t="s">
        <v>1919</v>
      </c>
      <c r="E740" s="1532"/>
      <c r="F740" s="1532"/>
      <c r="G740" s="1533"/>
      <c r="I740" s="927"/>
      <c r="J740" s="927"/>
      <c r="K740" s="927"/>
      <c r="L740" s="927"/>
      <c r="M740" s="932"/>
    </row>
    <row r="741" spans="1:13" outlineLevel="1" x14ac:dyDescent="0.2">
      <c r="A741" s="896">
        <v>705</v>
      </c>
      <c r="B741" s="881"/>
      <c r="C741" s="1141"/>
      <c r="D741" s="1531" t="s">
        <v>1920</v>
      </c>
      <c r="E741" s="1532"/>
      <c r="F741" s="1532"/>
      <c r="G741" s="1533"/>
      <c r="I741" s="927"/>
      <c r="J741" s="927"/>
      <c r="K741" s="927"/>
      <c r="L741" s="927"/>
      <c r="M741" s="932">
        <v>0</v>
      </c>
    </row>
    <row r="742" spans="1:13" outlineLevel="1" x14ac:dyDescent="0.2">
      <c r="A742" s="896">
        <v>706</v>
      </c>
      <c r="B742" s="881"/>
      <c r="C742" s="1142"/>
      <c r="D742" s="1531" t="s">
        <v>1921</v>
      </c>
      <c r="E742" s="1532"/>
      <c r="F742" s="1532"/>
      <c r="G742" s="1533"/>
      <c r="I742" s="927"/>
      <c r="J742" s="927"/>
      <c r="K742" s="927"/>
      <c r="L742" s="927"/>
      <c r="M742" s="932">
        <v>0</v>
      </c>
    </row>
    <row r="743" spans="1:13" outlineLevel="1" x14ac:dyDescent="0.2">
      <c r="A743" s="896">
        <v>707</v>
      </c>
      <c r="B743" s="881"/>
      <c r="C743" s="1142"/>
      <c r="D743" s="1531" t="s">
        <v>1922</v>
      </c>
      <c r="E743" s="1532"/>
      <c r="F743" s="1532"/>
      <c r="G743" s="1533"/>
      <c r="I743" s="927"/>
      <c r="J743" s="927"/>
      <c r="K743" s="927"/>
      <c r="L743" s="927"/>
      <c r="M743" s="912"/>
    </row>
    <row r="744" spans="1:13" outlineLevel="1" x14ac:dyDescent="0.2">
      <c r="A744" s="971">
        <v>708</v>
      </c>
      <c r="B744" s="881"/>
      <c r="C744" s="1142"/>
      <c r="D744" s="1531" t="s">
        <v>1923</v>
      </c>
      <c r="E744" s="1532"/>
      <c r="F744" s="1532"/>
      <c r="G744" s="1533"/>
      <c r="I744" s="927"/>
      <c r="J744" s="927"/>
      <c r="K744" s="927"/>
      <c r="L744" s="927"/>
      <c r="M744" s="912"/>
    </row>
    <row r="745" spans="1:13" outlineLevel="1" x14ac:dyDescent="0.2">
      <c r="A745" s="896">
        <v>709</v>
      </c>
      <c r="B745" s="881"/>
      <c r="C745" s="1142"/>
      <c r="D745" s="1531" t="s">
        <v>1924</v>
      </c>
      <c r="E745" s="1532"/>
      <c r="F745" s="1532"/>
      <c r="G745" s="1533"/>
      <c r="I745" s="927"/>
      <c r="J745" s="927"/>
      <c r="K745" s="927"/>
      <c r="L745" s="927"/>
      <c r="M745" s="932">
        <v>0</v>
      </c>
    </row>
    <row r="746" spans="1:13" outlineLevel="1" x14ac:dyDescent="0.2">
      <c r="A746" s="971">
        <v>710</v>
      </c>
      <c r="B746" s="881"/>
      <c r="C746" s="1142"/>
      <c r="D746" s="1534" t="s">
        <v>1925</v>
      </c>
      <c r="E746" s="1535"/>
      <c r="F746" s="1535"/>
      <c r="G746" s="1536"/>
      <c r="I746" s="958"/>
      <c r="J746" s="958"/>
      <c r="K746" s="958"/>
      <c r="L746" s="958"/>
      <c r="M746" s="972"/>
    </row>
    <row r="747" spans="1:13" outlineLevel="1" x14ac:dyDescent="0.2">
      <c r="A747" s="896">
        <v>711</v>
      </c>
      <c r="B747" s="881"/>
      <c r="C747" s="1142"/>
      <c r="D747" s="1534" t="s">
        <v>1926</v>
      </c>
      <c r="E747" s="1535"/>
      <c r="F747" s="1535"/>
      <c r="G747" s="1536"/>
      <c r="I747" s="973"/>
      <c r="J747" s="973"/>
      <c r="K747" s="973"/>
      <c r="L747" s="973"/>
      <c r="M747" s="933">
        <v>0</v>
      </c>
    </row>
    <row r="748" spans="1:13" outlineLevel="1" x14ac:dyDescent="0.2">
      <c r="A748" s="896">
        <v>712</v>
      </c>
      <c r="B748" s="881"/>
      <c r="C748" s="1525"/>
      <c r="D748" s="1531" t="s">
        <v>1927</v>
      </c>
      <c r="E748" s="1532"/>
      <c r="F748" s="1532"/>
      <c r="G748" s="1533"/>
      <c r="I748" s="931"/>
      <c r="J748" s="931"/>
      <c r="K748" s="931"/>
      <c r="L748" s="931"/>
      <c r="M748" s="932">
        <v>0</v>
      </c>
    </row>
    <row r="749" spans="1:13" outlineLevel="1" x14ac:dyDescent="0.2">
      <c r="A749" s="896">
        <v>713</v>
      </c>
      <c r="B749" s="881"/>
      <c r="C749" s="1525"/>
      <c r="D749" s="1531" t="s">
        <v>1928</v>
      </c>
      <c r="E749" s="1532"/>
      <c r="F749" s="1532"/>
      <c r="G749" s="1533"/>
      <c r="I749" s="931"/>
      <c r="J749" s="931"/>
      <c r="K749" s="931"/>
      <c r="L749" s="931"/>
      <c r="M749" s="932">
        <v>0</v>
      </c>
    </row>
    <row r="750" spans="1:13" outlineLevel="1" x14ac:dyDescent="0.2">
      <c r="A750" s="896">
        <v>714</v>
      </c>
      <c r="B750" s="881"/>
      <c r="C750" s="1525"/>
      <c r="D750" s="1531" t="s">
        <v>1929</v>
      </c>
      <c r="E750" s="1532"/>
      <c r="F750" s="1532"/>
      <c r="G750" s="1533"/>
      <c r="I750" s="931"/>
      <c r="J750" s="931"/>
      <c r="K750" s="931"/>
      <c r="L750" s="931"/>
      <c r="M750" s="932">
        <v>0</v>
      </c>
    </row>
    <row r="751" spans="1:13" outlineLevel="1" x14ac:dyDescent="0.2">
      <c r="A751" s="896">
        <v>715</v>
      </c>
      <c r="B751" s="881"/>
      <c r="C751" s="1526"/>
      <c r="D751" s="1531" t="s">
        <v>1930</v>
      </c>
      <c r="E751" s="1532"/>
      <c r="F751" s="1532"/>
      <c r="G751" s="1533"/>
      <c r="I751" s="931"/>
      <c r="J751" s="931"/>
      <c r="K751" s="931"/>
      <c r="L751" s="931"/>
      <c r="M751" s="932">
        <v>0</v>
      </c>
    </row>
    <row r="752" spans="1:13" outlineLevel="1" x14ac:dyDescent="0.2">
      <c r="A752" s="896">
        <v>716</v>
      </c>
      <c r="B752" s="881"/>
      <c r="C752" s="1550" t="s">
        <v>1931</v>
      </c>
      <c r="D752" s="1531" t="s">
        <v>1932</v>
      </c>
      <c r="E752" s="1532"/>
      <c r="F752" s="1532"/>
      <c r="G752" s="1533"/>
      <c r="H752" s="974"/>
      <c r="I752" s="931"/>
      <c r="J752" s="931"/>
      <c r="K752" s="931"/>
      <c r="L752" s="931"/>
      <c r="M752" s="932"/>
    </row>
    <row r="753" spans="1:13" outlineLevel="1" x14ac:dyDescent="0.2">
      <c r="A753" s="896">
        <v>717</v>
      </c>
      <c r="B753" s="881"/>
      <c r="C753" s="1551"/>
      <c r="D753" s="1531" t="s">
        <v>1933</v>
      </c>
      <c r="E753" s="1532"/>
      <c r="F753" s="1532"/>
      <c r="G753" s="1533"/>
      <c r="H753" s="974"/>
      <c r="I753" s="931"/>
      <c r="J753" s="931"/>
      <c r="K753" s="931"/>
      <c r="L753" s="931"/>
      <c r="M753" s="932"/>
    </row>
    <row r="754" spans="1:13" outlineLevel="1" x14ac:dyDescent="0.2">
      <c r="A754" s="896">
        <v>718</v>
      </c>
      <c r="B754" s="881"/>
      <c r="C754" s="1552"/>
      <c r="D754" s="1531" t="s">
        <v>1934</v>
      </c>
      <c r="E754" s="1532"/>
      <c r="F754" s="1532"/>
      <c r="G754" s="1533"/>
      <c r="H754" s="974"/>
      <c r="I754" s="931"/>
      <c r="J754" s="931"/>
      <c r="K754" s="931"/>
      <c r="L754" s="931"/>
      <c r="M754" s="932"/>
    </row>
    <row r="755" spans="1:13" outlineLevel="1" x14ac:dyDescent="0.2">
      <c r="A755" s="896">
        <v>719</v>
      </c>
      <c r="B755" s="881"/>
      <c r="C755" s="1141"/>
      <c r="D755" s="1535" t="s">
        <v>1935</v>
      </c>
      <c r="E755" s="1535"/>
      <c r="F755" s="1535"/>
      <c r="G755" s="1536"/>
      <c r="I755" s="975"/>
      <c r="J755" s="975"/>
      <c r="K755" s="975"/>
      <c r="L755" s="975"/>
      <c r="M755" s="976"/>
    </row>
    <row r="756" spans="1:13" outlineLevel="1" x14ac:dyDescent="0.2">
      <c r="A756" s="896">
        <v>720</v>
      </c>
      <c r="B756" s="881"/>
      <c r="C756" s="1142"/>
      <c r="D756" s="1095" t="s">
        <v>1936</v>
      </c>
      <c r="E756" s="977"/>
      <c r="F756" s="977"/>
      <c r="G756" s="977"/>
      <c r="H756" s="977"/>
      <c r="I756" s="975"/>
      <c r="J756" s="975"/>
      <c r="K756" s="975"/>
      <c r="L756" s="975"/>
      <c r="M756" s="978"/>
    </row>
    <row r="757" spans="1:13" outlineLevel="1" x14ac:dyDescent="0.2">
      <c r="A757" s="896">
        <v>721</v>
      </c>
      <c r="B757" s="881"/>
      <c r="C757" s="1142"/>
      <c r="D757" s="1535" t="s">
        <v>1937</v>
      </c>
      <c r="E757" s="1535"/>
      <c r="F757" s="1535"/>
      <c r="G757" s="1536"/>
      <c r="I757" s="973"/>
      <c r="J757" s="973"/>
      <c r="K757" s="973"/>
      <c r="L757" s="973"/>
      <c r="M757" s="933">
        <v>0</v>
      </c>
    </row>
    <row r="758" spans="1:13" outlineLevel="1" x14ac:dyDescent="0.2">
      <c r="A758" s="979">
        <v>741</v>
      </c>
      <c r="B758" s="881"/>
      <c r="C758" s="1142"/>
      <c r="D758" s="1532" t="s">
        <v>1938</v>
      </c>
      <c r="E758" s="1532"/>
      <c r="F758" s="1532"/>
      <c r="G758" s="1533"/>
      <c r="I758" s="931"/>
      <c r="J758" s="931"/>
      <c r="K758" s="931"/>
      <c r="L758" s="931"/>
      <c r="M758" s="932">
        <v>0</v>
      </c>
    </row>
    <row r="759" spans="1:13" outlineLevel="1" x14ac:dyDescent="0.2">
      <c r="A759" s="979">
        <v>742</v>
      </c>
      <c r="B759" s="881"/>
      <c r="C759" s="1142"/>
      <c r="D759" s="1532" t="s">
        <v>1939</v>
      </c>
      <c r="E759" s="1532"/>
      <c r="F759" s="1532"/>
      <c r="G759" s="1533"/>
      <c r="I759" s="931"/>
      <c r="J759" s="931"/>
      <c r="K759" s="931"/>
      <c r="L759" s="931"/>
      <c r="M759" s="932">
        <v>0</v>
      </c>
    </row>
    <row r="760" spans="1:13" outlineLevel="1" x14ac:dyDescent="0.2">
      <c r="A760" s="979">
        <v>743</v>
      </c>
      <c r="B760" s="881"/>
      <c r="C760" s="1142"/>
      <c r="D760" s="1535" t="s">
        <v>1940</v>
      </c>
      <c r="E760" s="1535"/>
      <c r="F760" s="1535"/>
      <c r="G760" s="1536"/>
      <c r="I760" s="958"/>
      <c r="J760" s="958"/>
      <c r="K760" s="958"/>
      <c r="L760" s="958"/>
      <c r="M760" s="980">
        <v>0</v>
      </c>
    </row>
    <row r="761" spans="1:13" outlineLevel="1" x14ac:dyDescent="0.2">
      <c r="A761" s="979">
        <v>744</v>
      </c>
      <c r="B761" s="881"/>
      <c r="C761" s="1142"/>
      <c r="D761" s="1532" t="s">
        <v>1941</v>
      </c>
      <c r="E761" s="1532"/>
      <c r="F761" s="1532"/>
      <c r="G761" s="1533"/>
      <c r="I761" s="931"/>
      <c r="J761" s="931"/>
      <c r="K761" s="931"/>
      <c r="L761" s="931"/>
      <c r="M761" s="932">
        <v>0</v>
      </c>
    </row>
    <row r="762" spans="1:13" outlineLevel="1" x14ac:dyDescent="0.2">
      <c r="A762" s="979">
        <v>745</v>
      </c>
      <c r="B762" s="881"/>
      <c r="C762" s="1142"/>
      <c r="D762" s="1532" t="s">
        <v>1942</v>
      </c>
      <c r="E762" s="1532"/>
      <c r="F762" s="1532"/>
      <c r="G762" s="1533"/>
      <c r="I762" s="931"/>
      <c r="J762" s="931"/>
      <c r="K762" s="931"/>
      <c r="L762" s="931"/>
      <c r="M762" s="932">
        <v>0</v>
      </c>
    </row>
    <row r="763" spans="1:13" outlineLevel="1" x14ac:dyDescent="0.2">
      <c r="A763" s="979">
        <v>746</v>
      </c>
      <c r="B763" s="881"/>
      <c r="C763" s="1142"/>
      <c r="D763" s="1535" t="s">
        <v>1943</v>
      </c>
      <c r="E763" s="1535"/>
      <c r="F763" s="1535"/>
      <c r="G763" s="1536"/>
      <c r="I763" s="958"/>
      <c r="J763" s="958"/>
      <c r="K763" s="958"/>
      <c r="L763" s="958"/>
      <c r="M763" s="980">
        <v>0</v>
      </c>
    </row>
    <row r="764" spans="1:13" outlineLevel="1" x14ac:dyDescent="0.2">
      <c r="A764" s="979">
        <v>747</v>
      </c>
      <c r="B764" s="881"/>
      <c r="C764" s="1142"/>
      <c r="D764" s="1532" t="s">
        <v>1944</v>
      </c>
      <c r="E764" s="1532"/>
      <c r="F764" s="1532"/>
      <c r="G764" s="1533"/>
      <c r="H764" s="1107"/>
      <c r="I764" s="931"/>
      <c r="J764" s="931"/>
      <c r="K764" s="931"/>
      <c r="L764" s="931"/>
      <c r="M764" s="932">
        <v>0</v>
      </c>
    </row>
    <row r="765" spans="1:13" outlineLevel="1" x14ac:dyDescent="0.2">
      <c r="A765" s="979">
        <v>748</v>
      </c>
      <c r="B765" s="881"/>
      <c r="C765" s="1142"/>
      <c r="D765" s="1532" t="s">
        <v>1945</v>
      </c>
      <c r="E765" s="1532"/>
      <c r="F765" s="1532"/>
      <c r="G765" s="1533"/>
      <c r="H765" s="1107"/>
      <c r="I765" s="931"/>
      <c r="J765" s="931"/>
      <c r="K765" s="931"/>
      <c r="L765" s="931"/>
      <c r="M765" s="932">
        <v>0</v>
      </c>
    </row>
    <row r="766" spans="1:13" outlineLevel="1" x14ac:dyDescent="0.2">
      <c r="A766" s="979">
        <v>910</v>
      </c>
      <c r="B766" s="881"/>
      <c r="C766" s="1142"/>
      <c r="D766" s="1532" t="s">
        <v>1946</v>
      </c>
      <c r="E766" s="1532"/>
      <c r="F766" s="1532"/>
      <c r="G766" s="1533"/>
      <c r="H766" s="1107"/>
      <c r="I766" s="931"/>
      <c r="J766" s="931"/>
      <c r="K766" s="931"/>
      <c r="L766" s="931"/>
      <c r="M766" s="932">
        <v>0</v>
      </c>
    </row>
    <row r="767" spans="1:13" outlineLevel="1" x14ac:dyDescent="0.2">
      <c r="A767" s="979">
        <v>911</v>
      </c>
      <c r="B767" s="881"/>
      <c r="C767" s="1142"/>
      <c r="D767" s="1532" t="s">
        <v>1947</v>
      </c>
      <c r="E767" s="1532"/>
      <c r="F767" s="1532"/>
      <c r="G767" s="1533"/>
      <c r="H767" s="1107"/>
      <c r="I767" s="931"/>
      <c r="J767" s="931"/>
      <c r="K767" s="931"/>
      <c r="L767" s="931"/>
      <c r="M767" s="932">
        <v>0</v>
      </c>
    </row>
    <row r="768" spans="1:13" outlineLevel="1" x14ac:dyDescent="0.2">
      <c r="A768" s="979"/>
      <c r="B768" s="881"/>
      <c r="C768" s="1142"/>
      <c r="D768" s="1532" t="s">
        <v>1948</v>
      </c>
      <c r="E768" s="1532"/>
      <c r="F768" s="1532"/>
      <c r="G768" s="1533"/>
      <c r="H768" s="1107"/>
      <c r="I768" s="931"/>
      <c r="J768" s="931"/>
      <c r="K768" s="931"/>
      <c r="L768" s="931"/>
      <c r="M768" s="932">
        <v>0</v>
      </c>
    </row>
    <row r="769" spans="1:13" outlineLevel="1" x14ac:dyDescent="0.2">
      <c r="A769" s="971">
        <v>749</v>
      </c>
      <c r="B769" s="881"/>
      <c r="C769" s="1142"/>
      <c r="D769" s="1535" t="s">
        <v>1180</v>
      </c>
      <c r="E769" s="1535"/>
      <c r="F769" s="1535"/>
      <c r="G769" s="1536"/>
      <c r="I769" s="930"/>
      <c r="J769" s="930"/>
      <c r="K769" s="930"/>
      <c r="L769" s="930"/>
      <c r="M769" s="981"/>
    </row>
    <row r="770" spans="1:13" outlineLevel="1" x14ac:dyDescent="0.2">
      <c r="A770" s="971">
        <v>750</v>
      </c>
      <c r="B770" s="881"/>
      <c r="C770" s="1142"/>
      <c r="D770" s="1532" t="s">
        <v>1949</v>
      </c>
      <c r="E770" s="1532"/>
      <c r="F770" s="1532"/>
      <c r="G770" s="1533"/>
      <c r="I770" s="930"/>
      <c r="J770" s="930"/>
      <c r="K770" s="930"/>
      <c r="L770" s="930"/>
      <c r="M770" s="895">
        <v>0</v>
      </c>
    </row>
    <row r="771" spans="1:13" outlineLevel="1" x14ac:dyDescent="0.2">
      <c r="A771" s="971"/>
      <c r="B771" s="881"/>
      <c r="C771" s="1142"/>
      <c r="D771" s="1532" t="s">
        <v>1950</v>
      </c>
      <c r="E771" s="1532"/>
      <c r="F771" s="1532"/>
      <c r="G771" s="1533"/>
      <c r="I771" s="930"/>
      <c r="J771" s="930"/>
      <c r="K771" s="930"/>
      <c r="L771" s="930"/>
      <c r="M771" s="895">
        <v>0</v>
      </c>
    </row>
    <row r="772" spans="1:13" outlineLevel="1" x14ac:dyDescent="0.2">
      <c r="A772" s="971"/>
      <c r="B772" s="881"/>
      <c r="C772" s="1142"/>
      <c r="D772" s="1532" t="s">
        <v>1951</v>
      </c>
      <c r="E772" s="1532"/>
      <c r="F772" s="1532"/>
      <c r="G772" s="1533"/>
      <c r="I772" s="930"/>
      <c r="J772" s="930"/>
      <c r="K772" s="930"/>
      <c r="L772" s="930"/>
      <c r="M772" s="895">
        <v>0</v>
      </c>
    </row>
    <row r="773" spans="1:13" outlineLevel="1" x14ac:dyDescent="0.2">
      <c r="A773" s="896" t="e">
        <v>#REF!</v>
      </c>
      <c r="B773" s="881"/>
      <c r="C773" s="1142"/>
      <c r="D773" s="1532" t="s">
        <v>1952</v>
      </c>
      <c r="E773" s="1532"/>
      <c r="F773" s="1532"/>
      <c r="G773" s="1533"/>
      <c r="I773" s="930"/>
      <c r="J773" s="930"/>
      <c r="K773" s="930"/>
      <c r="L773" s="930"/>
      <c r="M773" s="894">
        <v>0</v>
      </c>
    </row>
    <row r="774" spans="1:13" outlineLevel="1" x14ac:dyDescent="0.2">
      <c r="A774" s="896" t="e">
        <v>#REF!</v>
      </c>
      <c r="B774" s="881"/>
      <c r="C774" s="1142"/>
      <c r="D774" s="1532" t="s">
        <v>1953</v>
      </c>
      <c r="E774" s="1532"/>
      <c r="F774" s="1532"/>
      <c r="G774" s="1533"/>
      <c r="I774" s="930"/>
      <c r="J774" s="930"/>
      <c r="K774" s="930"/>
      <c r="L774" s="930"/>
    </row>
    <row r="775" spans="1:13" outlineLevel="1" x14ac:dyDescent="0.2">
      <c r="A775" s="896" t="e">
        <v>#REF!</v>
      </c>
      <c r="B775" s="881"/>
      <c r="C775" s="1143"/>
      <c r="D775" s="1532" t="s">
        <v>1198</v>
      </c>
      <c r="E775" s="1532"/>
      <c r="F775" s="1532"/>
      <c r="G775" s="1533"/>
      <c r="I775" s="930"/>
      <c r="J775" s="930"/>
      <c r="K775" s="930"/>
      <c r="L775" s="930"/>
      <c r="M775" s="894">
        <v>0</v>
      </c>
    </row>
    <row r="776" spans="1:13" outlineLevel="1" x14ac:dyDescent="0.2">
      <c r="A776" s="896" t="e">
        <v>#REF!</v>
      </c>
      <c r="B776" s="881"/>
      <c r="C776" s="1527" t="s">
        <v>1200</v>
      </c>
      <c r="D776" s="1531" t="s">
        <v>1327</v>
      </c>
      <c r="E776" s="1532"/>
      <c r="F776" s="1532"/>
      <c r="G776" s="1533"/>
      <c r="I776" s="930"/>
      <c r="J776" s="930"/>
      <c r="K776" s="930"/>
      <c r="L776" s="930"/>
      <c r="M776" s="894"/>
    </row>
    <row r="777" spans="1:13" outlineLevel="1" x14ac:dyDescent="0.2">
      <c r="A777" s="896" t="e">
        <v>#REF!</v>
      </c>
      <c r="B777" s="881"/>
      <c r="C777" s="1527"/>
      <c r="D777" s="1531" t="s">
        <v>1329</v>
      </c>
      <c r="E777" s="1532"/>
      <c r="F777" s="1532"/>
      <c r="G777" s="1533"/>
      <c r="I777" s="930"/>
      <c r="J777" s="930"/>
      <c r="K777" s="930"/>
      <c r="L777" s="930"/>
      <c r="M777" s="894"/>
    </row>
    <row r="778" spans="1:13" outlineLevel="1" x14ac:dyDescent="0.2">
      <c r="A778" s="896" t="e">
        <v>#REF!</v>
      </c>
      <c r="B778" s="881"/>
      <c r="C778" s="1527"/>
      <c r="D778" s="1531" t="s">
        <v>1331</v>
      </c>
      <c r="E778" s="1532"/>
      <c r="F778" s="1532"/>
      <c r="G778" s="1533"/>
      <c r="I778" s="930"/>
      <c r="J778" s="930"/>
      <c r="K778" s="930"/>
      <c r="L778" s="930"/>
      <c r="M778" s="894"/>
    </row>
    <row r="779" spans="1:13" outlineLevel="1" x14ac:dyDescent="0.2">
      <c r="A779" s="896" t="e">
        <v>#REF!</v>
      </c>
      <c r="B779" s="881"/>
      <c r="C779" s="1527"/>
      <c r="D779" s="1531" t="s">
        <v>1333</v>
      </c>
      <c r="E779" s="1532"/>
      <c r="F779" s="1532"/>
      <c r="G779" s="1533"/>
      <c r="I779" s="930"/>
      <c r="J779" s="930"/>
      <c r="K779" s="930"/>
      <c r="L779" s="930"/>
      <c r="M779" s="894"/>
    </row>
    <row r="780" spans="1:13" outlineLevel="1" x14ac:dyDescent="0.2">
      <c r="A780" s="896" t="e">
        <v>#REF!</v>
      </c>
      <c r="B780" s="881"/>
      <c r="C780" s="1527"/>
      <c r="D780" s="1534" t="s">
        <v>1335</v>
      </c>
      <c r="E780" s="1535"/>
      <c r="F780" s="1535"/>
      <c r="G780" s="1536"/>
      <c r="I780" s="930"/>
      <c r="J780" s="930"/>
      <c r="K780" s="930"/>
      <c r="L780" s="930"/>
      <c r="M780" s="890"/>
    </row>
    <row r="781" spans="1:13" outlineLevel="1" x14ac:dyDescent="0.2">
      <c r="A781" s="896" t="e">
        <v>#REF!</v>
      </c>
      <c r="B781" s="881"/>
      <c r="C781" s="1527" t="s">
        <v>1202</v>
      </c>
      <c r="D781" s="1531" t="s">
        <v>1327</v>
      </c>
      <c r="E781" s="1532"/>
      <c r="F781" s="1532"/>
      <c r="G781" s="1533"/>
      <c r="I781" s="930"/>
      <c r="J781" s="930"/>
      <c r="K781" s="930"/>
      <c r="L781" s="930"/>
      <c r="M781" s="894"/>
    </row>
    <row r="782" spans="1:13" outlineLevel="1" x14ac:dyDescent="0.2">
      <c r="A782" s="896" t="e">
        <v>#REF!</v>
      </c>
      <c r="B782" s="881"/>
      <c r="C782" s="1527"/>
      <c r="D782" s="1531" t="s">
        <v>1329</v>
      </c>
      <c r="E782" s="1532"/>
      <c r="F782" s="1532"/>
      <c r="G782" s="1533"/>
      <c r="I782" s="930"/>
      <c r="J782" s="930"/>
      <c r="K782" s="930"/>
      <c r="L782" s="930"/>
      <c r="M782" s="894"/>
    </row>
    <row r="783" spans="1:13" outlineLevel="1" x14ac:dyDescent="0.2">
      <c r="A783" s="896" t="e">
        <v>#REF!</v>
      </c>
      <c r="B783" s="881"/>
      <c r="C783" s="1527"/>
      <c r="D783" s="1531" t="s">
        <v>1342</v>
      </c>
      <c r="E783" s="1532"/>
      <c r="F783" s="1532"/>
      <c r="G783" s="1533"/>
      <c r="I783" s="930"/>
      <c r="J783" s="930"/>
      <c r="K783" s="930"/>
      <c r="L783" s="930"/>
      <c r="M783" s="894"/>
    </row>
    <row r="784" spans="1:13" outlineLevel="1" x14ac:dyDescent="0.2">
      <c r="A784" s="896" t="e">
        <v>#REF!</v>
      </c>
      <c r="B784" s="881"/>
      <c r="C784" s="1527"/>
      <c r="D784" s="1531" t="s">
        <v>1331</v>
      </c>
      <c r="E784" s="1532"/>
      <c r="F784" s="1532"/>
      <c r="G784" s="1533"/>
      <c r="I784" s="930"/>
      <c r="J784" s="930"/>
      <c r="K784" s="930"/>
      <c r="L784" s="930"/>
      <c r="M784" s="894"/>
    </row>
    <row r="785" spans="1:13" outlineLevel="1" x14ac:dyDescent="0.2">
      <c r="A785" s="896" t="e">
        <v>#REF!</v>
      </c>
      <c r="B785" s="881"/>
      <c r="C785" s="1527"/>
      <c r="D785" s="1531" t="s">
        <v>1343</v>
      </c>
      <c r="E785" s="1532"/>
      <c r="F785" s="1532"/>
      <c r="G785" s="1533"/>
      <c r="I785" s="930"/>
      <c r="J785" s="930"/>
      <c r="K785" s="930"/>
      <c r="L785" s="930"/>
      <c r="M785" s="894"/>
    </row>
    <row r="786" spans="1:13" outlineLevel="1" x14ac:dyDescent="0.2">
      <c r="A786" s="896" t="e">
        <v>#REF!</v>
      </c>
      <c r="B786" s="881"/>
      <c r="C786" s="1527"/>
      <c r="D786" s="1531" t="s">
        <v>1202</v>
      </c>
      <c r="E786" s="1532"/>
      <c r="F786" s="1532"/>
      <c r="G786" s="1533"/>
      <c r="I786" s="930"/>
      <c r="J786" s="930"/>
      <c r="K786" s="930"/>
      <c r="L786" s="930"/>
      <c r="M786" s="894"/>
    </row>
    <row r="787" spans="1:13" outlineLevel="1" x14ac:dyDescent="0.2">
      <c r="A787" s="896" t="e">
        <v>#REF!</v>
      </c>
      <c r="B787" s="881"/>
      <c r="C787" s="1527"/>
      <c r="D787" s="1534" t="s">
        <v>1345</v>
      </c>
      <c r="E787" s="1535"/>
      <c r="F787" s="1535"/>
      <c r="G787" s="1536"/>
      <c r="I787" s="930"/>
      <c r="J787" s="930"/>
      <c r="K787" s="930"/>
      <c r="L787" s="930"/>
      <c r="M787" s="890"/>
    </row>
    <row r="788" spans="1:13" outlineLevel="1" x14ac:dyDescent="0.2">
      <c r="A788" s="896" t="e">
        <v>#REF!</v>
      </c>
      <c r="B788" s="881"/>
      <c r="C788" s="1141"/>
      <c r="D788" s="1534" t="s">
        <v>1954</v>
      </c>
      <c r="E788" s="1535"/>
      <c r="F788" s="1535"/>
      <c r="G788" s="1536"/>
      <c r="I788" s="930"/>
      <c r="J788" s="930"/>
      <c r="K788" s="930"/>
      <c r="L788" s="930"/>
      <c r="M788" s="890"/>
    </row>
    <row r="789" spans="1:13" ht="12.75" customHeight="1" outlineLevel="1" x14ac:dyDescent="0.2">
      <c r="A789" s="896" t="e">
        <v>#REF!</v>
      </c>
      <c r="B789" s="881"/>
      <c r="C789" s="1142"/>
      <c r="D789" s="1531" t="s">
        <v>1955</v>
      </c>
      <c r="E789" s="1532"/>
      <c r="F789" s="1532"/>
      <c r="G789" s="1533"/>
      <c r="I789" s="930"/>
      <c r="J789" s="930"/>
      <c r="K789" s="930"/>
      <c r="L789" s="930"/>
      <c r="M789" s="894"/>
    </row>
    <row r="790" spans="1:13" ht="12.75" customHeight="1" outlineLevel="1" x14ac:dyDescent="0.2">
      <c r="A790" s="896"/>
      <c r="B790" s="881"/>
      <c r="C790" s="1142"/>
      <c r="D790" s="1531" t="s">
        <v>1956</v>
      </c>
      <c r="E790" s="1532"/>
      <c r="F790" s="1532"/>
      <c r="G790" s="1533"/>
      <c r="I790" s="930"/>
      <c r="J790" s="930"/>
      <c r="K790" s="930"/>
      <c r="L790" s="930"/>
      <c r="M790" s="894">
        <v>0</v>
      </c>
    </row>
    <row r="791" spans="1:13" ht="12.75" customHeight="1" outlineLevel="1" x14ac:dyDescent="0.2">
      <c r="A791" s="896"/>
      <c r="B791" s="881"/>
      <c r="C791" s="1142"/>
      <c r="D791" s="1531" t="s">
        <v>1957</v>
      </c>
      <c r="E791" s="1532"/>
      <c r="F791" s="1532"/>
      <c r="G791" s="1533"/>
      <c r="I791" s="930"/>
      <c r="J791" s="930"/>
      <c r="K791" s="930"/>
      <c r="L791" s="930"/>
      <c r="M791" s="894">
        <v>0</v>
      </c>
    </row>
    <row r="792" spans="1:13" ht="12.75" customHeight="1" outlineLevel="1" x14ac:dyDescent="0.2">
      <c r="A792" s="896"/>
      <c r="B792" s="881"/>
      <c r="C792" s="1142"/>
      <c r="D792" s="1531" t="s">
        <v>1214</v>
      </c>
      <c r="E792" s="1532"/>
      <c r="F792" s="1532"/>
      <c r="G792" s="1533"/>
      <c r="I792" s="930"/>
      <c r="J792" s="930"/>
      <c r="K792" s="930"/>
      <c r="L792" s="930"/>
      <c r="M792" s="894">
        <v>0</v>
      </c>
    </row>
    <row r="793" spans="1:13" ht="12.75" customHeight="1" outlineLevel="1" x14ac:dyDescent="0.2">
      <c r="A793" s="896"/>
      <c r="B793" s="881"/>
      <c r="C793" s="1142"/>
      <c r="D793" s="1531" t="s">
        <v>1958</v>
      </c>
      <c r="E793" s="1532"/>
      <c r="F793" s="1532"/>
      <c r="G793" s="1533"/>
      <c r="I793" s="930"/>
      <c r="J793" s="930"/>
      <c r="K793" s="930"/>
      <c r="L793" s="930"/>
      <c r="M793" s="894">
        <v>0</v>
      </c>
    </row>
    <row r="794" spans="1:13" outlineLevel="1" x14ac:dyDescent="0.2">
      <c r="A794" s="896" t="e">
        <v>#REF!</v>
      </c>
      <c r="B794" s="881"/>
      <c r="C794" s="1143"/>
      <c r="D794" s="1531" t="s">
        <v>1218</v>
      </c>
      <c r="E794" s="1532"/>
      <c r="F794" s="1532"/>
      <c r="G794" s="1533"/>
      <c r="I794" s="930"/>
      <c r="J794" s="930"/>
      <c r="K794" s="930"/>
      <c r="L794" s="930"/>
      <c r="M794" s="894">
        <v>0</v>
      </c>
    </row>
    <row r="795" spans="1:13" outlineLevel="1" x14ac:dyDescent="0.2">
      <c r="A795" s="896" t="e">
        <v>#REF!</v>
      </c>
      <c r="B795" s="881"/>
      <c r="C795" s="1096" t="s">
        <v>1959</v>
      </c>
      <c r="D795" s="1096"/>
      <c r="E795" s="1096"/>
      <c r="F795" s="1096"/>
      <c r="G795" s="1096"/>
      <c r="H795" s="1096"/>
      <c r="I795" s="1524" t="s">
        <v>1407</v>
      </c>
      <c r="J795" s="1524"/>
      <c r="K795" s="1524"/>
      <c r="L795" s="1097"/>
      <c r="M795" s="1098"/>
    </row>
    <row r="796" spans="1:13" ht="25.5" outlineLevel="1" x14ac:dyDescent="0.2">
      <c r="A796" s="896" t="e">
        <v>#REF!</v>
      </c>
      <c r="B796" s="881"/>
      <c r="C796" s="1096"/>
      <c r="D796" s="1096"/>
      <c r="E796" s="1096"/>
      <c r="F796" s="1096"/>
      <c r="G796" s="1096"/>
      <c r="H796" s="1096"/>
      <c r="I796" s="1099" t="s">
        <v>1960</v>
      </c>
      <c r="J796" s="1099" t="s">
        <v>1961</v>
      </c>
      <c r="K796" s="1099" t="s">
        <v>1962</v>
      </c>
      <c r="L796" s="1097"/>
      <c r="M796" s="1098"/>
    </row>
    <row r="797" spans="1:13" outlineLevel="1" x14ac:dyDescent="0.2">
      <c r="A797" s="896" t="e">
        <v>#REF!</v>
      </c>
      <c r="B797" s="881"/>
      <c r="C797" s="1527" t="s">
        <v>1963</v>
      </c>
      <c r="D797" s="1531" t="s">
        <v>1964</v>
      </c>
      <c r="E797" s="1532"/>
      <c r="F797" s="1532"/>
      <c r="G797" s="1533"/>
      <c r="I797" s="984"/>
      <c r="J797" s="984"/>
      <c r="K797" s="985"/>
      <c r="L797" s="930"/>
      <c r="M797" s="986"/>
    </row>
    <row r="798" spans="1:13" outlineLevel="1" x14ac:dyDescent="0.2">
      <c r="A798" s="896" t="e">
        <v>#REF!</v>
      </c>
      <c r="B798" s="881"/>
      <c r="C798" s="1527"/>
      <c r="D798" s="1531" t="s">
        <v>1965</v>
      </c>
      <c r="E798" s="1532"/>
      <c r="F798" s="1532"/>
      <c r="G798" s="1533"/>
      <c r="I798" s="984"/>
      <c r="J798" s="984"/>
      <c r="K798" s="987"/>
      <c r="L798" s="988"/>
      <c r="M798" s="986"/>
    </row>
    <row r="799" spans="1:13" outlineLevel="1" x14ac:dyDescent="0.2">
      <c r="A799" s="896" t="e">
        <v>#REF!</v>
      </c>
      <c r="B799" s="881"/>
      <c r="C799" s="1527"/>
      <c r="D799" s="1531" t="s">
        <v>1966</v>
      </c>
      <c r="E799" s="1532"/>
      <c r="F799" s="1532"/>
      <c r="G799" s="1533"/>
      <c r="I799" s="984"/>
      <c r="J799" s="984"/>
      <c r="K799" s="985"/>
      <c r="L799" s="988"/>
      <c r="M799" s="986"/>
    </row>
    <row r="800" spans="1:13" outlineLevel="1" x14ac:dyDescent="0.2">
      <c r="A800" s="896" t="e">
        <v>#REF!</v>
      </c>
      <c r="B800" s="881"/>
      <c r="C800" s="1527"/>
      <c r="D800" s="1531" t="s">
        <v>1967</v>
      </c>
      <c r="E800" s="1532"/>
      <c r="F800" s="1532"/>
      <c r="G800" s="1533"/>
      <c r="I800" s="984"/>
      <c r="J800" s="984"/>
      <c r="K800" s="985"/>
      <c r="L800" s="988"/>
      <c r="M800" s="986"/>
    </row>
    <row r="801" spans="1:13" outlineLevel="1" x14ac:dyDescent="0.2">
      <c r="A801" s="896" t="e">
        <v>#REF!</v>
      </c>
      <c r="B801" s="881"/>
      <c r="C801" s="1527"/>
      <c r="D801" s="1531" t="s">
        <v>1968</v>
      </c>
      <c r="E801" s="1532"/>
      <c r="F801" s="1532"/>
      <c r="G801" s="1533"/>
      <c r="I801" s="984"/>
      <c r="J801" s="984"/>
      <c r="K801" s="985"/>
      <c r="L801" s="988"/>
      <c r="M801" s="986"/>
    </row>
    <row r="802" spans="1:13" outlineLevel="1" x14ac:dyDescent="0.2">
      <c r="A802" s="896" t="e">
        <v>#REF!</v>
      </c>
      <c r="B802" s="881"/>
      <c r="C802" s="1527"/>
      <c r="D802" s="1531" t="s">
        <v>1969</v>
      </c>
      <c r="E802" s="1532"/>
      <c r="F802" s="1532"/>
      <c r="G802" s="1533"/>
      <c r="I802" s="984"/>
      <c r="J802" s="984"/>
      <c r="K802" s="985"/>
      <c r="L802" s="988"/>
      <c r="M802" s="986"/>
    </row>
    <row r="803" spans="1:13" outlineLevel="1" x14ac:dyDescent="0.2">
      <c r="A803" s="896" t="e">
        <v>#REF!</v>
      </c>
      <c r="B803" s="881"/>
      <c r="C803" s="1527" t="s">
        <v>1970</v>
      </c>
      <c r="D803" s="1531" t="s">
        <v>1971</v>
      </c>
      <c r="E803" s="1532"/>
      <c r="F803" s="1532"/>
      <c r="G803" s="1533"/>
      <c r="I803" s="984"/>
      <c r="J803" s="984"/>
      <c r="K803" s="985"/>
      <c r="L803" s="930"/>
      <c r="M803" s="986"/>
    </row>
    <row r="804" spans="1:13" outlineLevel="1" x14ac:dyDescent="0.2">
      <c r="A804" s="896" t="e">
        <v>#REF!</v>
      </c>
      <c r="B804" s="881"/>
      <c r="C804" s="1527"/>
      <c r="D804" s="1531" t="s">
        <v>1972</v>
      </c>
      <c r="E804" s="1532"/>
      <c r="F804" s="1532"/>
      <c r="G804" s="1533"/>
      <c r="I804" s="989"/>
      <c r="J804" s="989"/>
      <c r="K804" s="989"/>
      <c r="L804" s="930"/>
      <c r="M804" s="986"/>
    </row>
    <row r="805" spans="1:13" outlineLevel="1" x14ac:dyDescent="0.2">
      <c r="A805" s="896" t="e">
        <v>#REF!</v>
      </c>
      <c r="B805" s="881"/>
      <c r="C805" s="1527"/>
      <c r="D805" s="1531" t="s">
        <v>1973</v>
      </c>
      <c r="E805" s="1532"/>
      <c r="F805" s="1532"/>
      <c r="G805" s="1533"/>
      <c r="I805" s="984"/>
      <c r="J805" s="984"/>
      <c r="K805" s="985"/>
      <c r="L805" s="930"/>
      <c r="M805" s="986"/>
    </row>
    <row r="806" spans="1:13" outlineLevel="1" x14ac:dyDescent="0.2">
      <c r="A806" s="896" t="e">
        <v>#REF!</v>
      </c>
      <c r="B806" s="881"/>
      <c r="C806" s="1527"/>
      <c r="D806" s="1531" t="s">
        <v>1974</v>
      </c>
      <c r="E806" s="1532"/>
      <c r="F806" s="1532"/>
      <c r="G806" s="1533"/>
      <c r="I806" s="984"/>
      <c r="J806" s="984"/>
      <c r="K806" s="985"/>
      <c r="L806" s="930"/>
      <c r="M806" s="986"/>
    </row>
    <row r="807" spans="1:13" outlineLevel="1" x14ac:dyDescent="0.2">
      <c r="A807" s="896" t="e">
        <v>#REF!</v>
      </c>
      <c r="B807" s="881"/>
      <c r="C807" s="1527"/>
      <c r="D807" s="1531" t="s">
        <v>1975</v>
      </c>
      <c r="E807" s="1532"/>
      <c r="F807" s="1532"/>
      <c r="G807" s="1533"/>
      <c r="I807" s="984"/>
      <c r="J807" s="984"/>
      <c r="K807" s="985"/>
      <c r="L807" s="930"/>
      <c r="M807" s="986"/>
    </row>
    <row r="808" spans="1:13" outlineLevel="1" x14ac:dyDescent="0.2">
      <c r="A808" s="896" t="e">
        <v>#REF!</v>
      </c>
      <c r="B808" s="881"/>
      <c r="C808" s="1527"/>
      <c r="D808" s="1531" t="s">
        <v>1976</v>
      </c>
      <c r="E808" s="1532"/>
      <c r="F808" s="1532"/>
      <c r="G808" s="1533"/>
      <c r="I808" s="984"/>
      <c r="J808" s="984"/>
      <c r="K808" s="985"/>
      <c r="L808" s="930"/>
      <c r="M808" s="986"/>
    </row>
    <row r="809" spans="1:13" ht="27" customHeight="1" outlineLevel="1" x14ac:dyDescent="0.2">
      <c r="A809" s="896" t="e">
        <v>#REF!</v>
      </c>
      <c r="B809" s="881"/>
      <c r="D809" s="1534" t="s">
        <v>1977</v>
      </c>
      <c r="E809" s="1535"/>
      <c r="F809" s="1535"/>
      <c r="G809" s="1536"/>
      <c r="I809" s="990">
        <v>0</v>
      </c>
      <c r="J809" s="990">
        <v>0</v>
      </c>
      <c r="K809" s="991">
        <v>0</v>
      </c>
      <c r="L809" s="982"/>
      <c r="M809" s="983"/>
    </row>
    <row r="810" spans="1:13" outlineLevel="1" x14ac:dyDescent="0.2">
      <c r="A810" s="896" t="e">
        <v>#REF!</v>
      </c>
      <c r="B810" s="881"/>
      <c r="D810" s="1534" t="s">
        <v>1978</v>
      </c>
      <c r="E810" s="1535"/>
      <c r="F810" s="1535"/>
      <c r="G810" s="1536"/>
      <c r="I810" s="992">
        <v>0</v>
      </c>
      <c r="J810" s="992">
        <v>0</v>
      </c>
      <c r="K810" s="993"/>
      <c r="L810" s="994"/>
      <c r="M810" s="995"/>
    </row>
    <row r="811" spans="1:13" outlineLevel="1" x14ac:dyDescent="0.2">
      <c r="A811" s="896" t="e">
        <v>#REF!</v>
      </c>
      <c r="B811" s="881"/>
      <c r="D811" s="1531" t="s">
        <v>1979</v>
      </c>
      <c r="E811" s="1532"/>
      <c r="F811" s="1532"/>
      <c r="G811" s="1533"/>
      <c r="I811" s="996" t="s">
        <v>1407</v>
      </c>
      <c r="J811" s="997"/>
      <c r="K811" s="998"/>
      <c r="L811" s="871"/>
      <c r="M811" s="986"/>
    </row>
    <row r="812" spans="1:13" ht="12.75" customHeight="1" outlineLevel="1" x14ac:dyDescent="0.2">
      <c r="A812" s="896" t="e">
        <v>#REF!</v>
      </c>
      <c r="B812" s="881"/>
      <c r="C812" s="1527" t="s">
        <v>1980</v>
      </c>
      <c r="D812" s="1531" t="s">
        <v>1981</v>
      </c>
      <c r="E812" s="1532"/>
      <c r="F812" s="1532"/>
      <c r="G812" s="1533"/>
      <c r="I812" s="1000"/>
      <c r="J812" s="996"/>
      <c r="K812" s="1001"/>
      <c r="L812" s="1002"/>
      <c r="M812" s="1003"/>
    </row>
    <row r="813" spans="1:13" ht="12.75" customHeight="1" outlineLevel="1" x14ac:dyDescent="0.2">
      <c r="A813" s="896"/>
      <c r="B813" s="881"/>
      <c r="C813" s="1527"/>
      <c r="D813" s="1531" t="s">
        <v>1982</v>
      </c>
      <c r="E813" s="1532"/>
      <c r="F813" s="1532"/>
      <c r="G813" s="1533"/>
      <c r="I813" s="1000"/>
      <c r="J813" s="996"/>
      <c r="K813" s="1001"/>
      <c r="L813" s="1002"/>
      <c r="M813" s="1003"/>
    </row>
    <row r="814" spans="1:13" outlineLevel="1" x14ac:dyDescent="0.2">
      <c r="A814" s="896"/>
      <c r="B814" s="881"/>
      <c r="C814" s="1527"/>
      <c r="D814" s="1531" t="s">
        <v>1983</v>
      </c>
      <c r="E814" s="1532"/>
      <c r="F814" s="1532"/>
      <c r="G814" s="1533"/>
      <c r="I814" s="1000"/>
      <c r="J814" s="996"/>
      <c r="K814" s="1001"/>
      <c r="L814" s="1002"/>
      <c r="M814" s="1003"/>
    </row>
    <row r="815" spans="1:13" outlineLevel="1" x14ac:dyDescent="0.2">
      <c r="A815" s="896" t="e">
        <v>#REF!</v>
      </c>
      <c r="B815" s="881"/>
      <c r="C815" s="1527"/>
      <c r="D815" s="1531" t="s">
        <v>1984</v>
      </c>
      <c r="E815" s="1532"/>
      <c r="F815" s="1532"/>
      <c r="G815" s="1533"/>
      <c r="I815" s="1000"/>
      <c r="J815" s="996"/>
      <c r="K815" s="1001"/>
      <c r="L815" s="1002"/>
      <c r="M815" s="1003"/>
    </row>
    <row r="816" spans="1:13" outlineLevel="1" x14ac:dyDescent="0.2">
      <c r="A816" s="896" t="e">
        <v>#REF!</v>
      </c>
      <c r="B816" s="881"/>
      <c r="C816" s="999"/>
      <c r="D816" s="1531" t="s">
        <v>1985</v>
      </c>
      <c r="E816" s="1532"/>
      <c r="F816" s="1532"/>
      <c r="G816" s="1533"/>
      <c r="I816" s="1000"/>
      <c r="J816" s="996"/>
      <c r="K816" s="1001"/>
      <c r="L816" s="1002"/>
      <c r="M816" s="1003"/>
    </row>
    <row r="817" spans="1:13" outlineLevel="1" x14ac:dyDescent="0.2">
      <c r="A817" s="896" t="e">
        <v>#REF!</v>
      </c>
      <c r="B817" s="881"/>
      <c r="C817" s="1004"/>
      <c r="D817" s="1531" t="s">
        <v>1986</v>
      </c>
      <c r="E817" s="1532"/>
      <c r="F817" s="1532"/>
      <c r="G817" s="1533"/>
      <c r="I817" s="1000"/>
      <c r="J817" s="996"/>
      <c r="K817" s="1001"/>
      <c r="L817" s="1002"/>
      <c r="M817" s="1003"/>
    </row>
    <row r="818" spans="1:13" outlineLevel="1" x14ac:dyDescent="0.2">
      <c r="A818" s="896" t="e">
        <v>#REF!</v>
      </c>
      <c r="B818" s="881"/>
      <c r="C818" s="1005"/>
      <c r="D818" s="1534" t="s">
        <v>1987</v>
      </c>
      <c r="E818" s="1535"/>
      <c r="F818" s="1535"/>
      <c r="G818" s="1536"/>
      <c r="I818" s="996">
        <v>0</v>
      </c>
      <c r="J818" s="996"/>
      <c r="K818" s="1006"/>
      <c r="L818" s="864"/>
      <c r="M818" s="1007"/>
    </row>
    <row r="819" spans="1:13" ht="25.5" outlineLevel="1" x14ac:dyDescent="0.2">
      <c r="A819" s="896" t="e">
        <v>#REF!</v>
      </c>
      <c r="B819" s="881"/>
      <c r="C819" s="1104" t="s">
        <v>1360</v>
      </c>
      <c r="D819" s="1100"/>
      <c r="E819" s="1100"/>
      <c r="F819" s="1100"/>
      <c r="G819" s="1100"/>
      <c r="H819" s="1100"/>
      <c r="I819" s="1101" t="s">
        <v>1407</v>
      </c>
      <c r="J819" s="1101" t="s">
        <v>1988</v>
      </c>
      <c r="K819" s="1101"/>
      <c r="L819" s="1102"/>
      <c r="M819" s="1103" t="s">
        <v>1614</v>
      </c>
    </row>
    <row r="820" spans="1:13" outlineLevel="1" x14ac:dyDescent="0.2">
      <c r="A820" s="896" t="e">
        <v>#REF!</v>
      </c>
      <c r="B820" s="924"/>
      <c r="C820" s="1527" t="s">
        <v>1631</v>
      </c>
      <c r="D820" s="1531" t="s">
        <v>1989</v>
      </c>
      <c r="E820" s="1532"/>
      <c r="F820" s="1532"/>
      <c r="G820" s="1533"/>
      <c r="I820" s="866"/>
      <c r="J820" s="866"/>
      <c r="K820" s="1158"/>
      <c r="L820" s="1159"/>
      <c r="M820" s="1008"/>
    </row>
    <row r="821" spans="1:13" outlineLevel="1" x14ac:dyDescent="0.2">
      <c r="A821" s="896" t="e">
        <v>#REF!</v>
      </c>
      <c r="B821" s="924"/>
      <c r="C821" s="1527"/>
      <c r="D821" s="1531" t="s">
        <v>1990</v>
      </c>
      <c r="E821" s="1532"/>
      <c r="F821" s="1532"/>
      <c r="G821" s="1533"/>
      <c r="I821" s="1009"/>
      <c r="J821" s="1009"/>
      <c r="K821" s="1010"/>
      <c r="L821" s="1011"/>
      <c r="M821" s="1008"/>
    </row>
    <row r="822" spans="1:13" outlineLevel="1" x14ac:dyDescent="0.2">
      <c r="A822" s="896" t="e">
        <v>#REF!</v>
      </c>
      <c r="B822" s="924"/>
      <c r="C822" s="1527"/>
      <c r="D822" s="1531" t="s">
        <v>1991</v>
      </c>
      <c r="E822" s="1532"/>
      <c r="F822" s="1532"/>
      <c r="G822" s="1533"/>
      <c r="I822" s="866"/>
      <c r="J822" s="866"/>
      <c r="K822" s="1010"/>
      <c r="L822" s="1011"/>
      <c r="M822" s="1008"/>
    </row>
    <row r="823" spans="1:13" outlineLevel="1" x14ac:dyDescent="0.2">
      <c r="A823" s="896" t="e">
        <v>#REF!</v>
      </c>
      <c r="B823" s="924"/>
      <c r="C823" s="1527"/>
      <c r="D823" s="1531" t="s">
        <v>1992</v>
      </c>
      <c r="E823" s="1532"/>
      <c r="F823" s="1532"/>
      <c r="G823" s="1533"/>
      <c r="I823" s="866"/>
      <c r="J823" s="866"/>
      <c r="K823" s="1010"/>
      <c r="L823" s="1011"/>
      <c r="M823" s="1012"/>
    </row>
    <row r="824" spans="1:13" outlineLevel="1" x14ac:dyDescent="0.2">
      <c r="A824" s="896" t="e">
        <v>#REF!</v>
      </c>
      <c r="B824" s="924"/>
      <c r="C824" s="1527"/>
      <c r="D824" s="1531" t="s">
        <v>1993</v>
      </c>
      <c r="E824" s="1532"/>
      <c r="F824" s="1532"/>
      <c r="G824" s="1533"/>
      <c r="I824" s="866"/>
      <c r="J824" s="866"/>
      <c r="K824" s="1010"/>
      <c r="L824" s="1011"/>
      <c r="M824" s="1012"/>
    </row>
    <row r="825" spans="1:13" outlineLevel="1" x14ac:dyDescent="0.2">
      <c r="A825" s="896" t="e">
        <v>#REF!</v>
      </c>
      <c r="B825" s="924"/>
      <c r="C825" s="1527"/>
      <c r="D825" s="1531" t="s">
        <v>1994</v>
      </c>
      <c r="E825" s="1532"/>
      <c r="F825" s="1532"/>
      <c r="G825" s="1533"/>
      <c r="I825" s="866"/>
      <c r="J825" s="866"/>
      <c r="K825" s="1010"/>
      <c r="L825" s="1011"/>
      <c r="M825" s="1012"/>
    </row>
    <row r="826" spans="1:13" outlineLevel="1" x14ac:dyDescent="0.2">
      <c r="A826" s="896" t="e">
        <v>#REF!</v>
      </c>
      <c r="B826" s="924"/>
      <c r="C826" s="1527"/>
      <c r="D826" s="1531" t="s">
        <v>1995</v>
      </c>
      <c r="E826" s="1532"/>
      <c r="F826" s="1532"/>
      <c r="G826" s="1533"/>
      <c r="I826" s="866"/>
      <c r="J826" s="866"/>
      <c r="K826" s="1010"/>
      <c r="L826" s="1011"/>
      <c r="M826" s="1012"/>
    </row>
    <row r="827" spans="1:13" outlineLevel="1" x14ac:dyDescent="0.2">
      <c r="A827" s="896" t="e">
        <v>#REF!</v>
      </c>
      <c r="B827" s="924"/>
      <c r="C827" s="1527" t="s">
        <v>1996</v>
      </c>
      <c r="D827" s="1531" t="s">
        <v>1997</v>
      </c>
      <c r="E827" s="1532"/>
      <c r="F827" s="1532"/>
      <c r="G827" s="1533"/>
      <c r="I827" s="866"/>
      <c r="J827" s="866"/>
      <c r="K827" s="1010"/>
      <c r="L827" s="1011"/>
      <c r="M827" s="1008"/>
    </row>
    <row r="828" spans="1:13" outlineLevel="1" x14ac:dyDescent="0.2">
      <c r="A828" s="896" t="e">
        <v>#REF!</v>
      </c>
      <c r="B828" s="924"/>
      <c r="C828" s="1527"/>
      <c r="D828" s="1531" t="s">
        <v>1998</v>
      </c>
      <c r="E828" s="1532"/>
      <c r="F828" s="1532"/>
      <c r="G828" s="1533"/>
      <c r="I828" s="866"/>
      <c r="J828" s="866"/>
      <c r="K828" s="1010"/>
      <c r="L828" s="1011"/>
      <c r="M828" s="939"/>
    </row>
    <row r="829" spans="1:13" outlineLevel="1" x14ac:dyDescent="0.2">
      <c r="A829" s="896" t="e">
        <v>#REF!</v>
      </c>
      <c r="B829" s="924"/>
      <c r="C829" s="1527"/>
      <c r="D829" s="1531" t="s">
        <v>1999</v>
      </c>
      <c r="E829" s="1532"/>
      <c r="F829" s="1532"/>
      <c r="G829" s="1533"/>
      <c r="I829" s="866"/>
      <c r="J829" s="866"/>
      <c r="K829" s="1010"/>
      <c r="L829" s="1011"/>
      <c r="M829" s="1012"/>
    </row>
    <row r="830" spans="1:13" outlineLevel="1" x14ac:dyDescent="0.2">
      <c r="A830" s="896" t="e">
        <v>#REF!</v>
      </c>
      <c r="B830" s="924"/>
      <c r="C830" s="1527"/>
      <c r="D830" s="1531" t="s">
        <v>2000</v>
      </c>
      <c r="E830" s="1532"/>
      <c r="F830" s="1532"/>
      <c r="G830" s="1533"/>
      <c r="I830" s="866"/>
      <c r="J830" s="866"/>
      <c r="K830" s="1010"/>
      <c r="L830" s="1011"/>
      <c r="M830" s="1012"/>
    </row>
    <row r="831" spans="1:13" outlineLevel="1" x14ac:dyDescent="0.2">
      <c r="A831" s="896" t="e">
        <v>#REF!</v>
      </c>
      <c r="B831" s="924"/>
      <c r="C831" s="1527"/>
      <c r="D831" s="1531" t="s">
        <v>2001</v>
      </c>
      <c r="E831" s="1532"/>
      <c r="F831" s="1532"/>
      <c r="G831" s="1533"/>
      <c r="I831" s="866"/>
      <c r="J831" s="866"/>
      <c r="K831" s="1010"/>
      <c r="L831" s="1011"/>
      <c r="M831" s="1013"/>
    </row>
    <row r="832" spans="1:13" outlineLevel="1" x14ac:dyDescent="0.2">
      <c r="A832" s="896" t="e">
        <v>#REF!</v>
      </c>
      <c r="B832" s="924"/>
      <c r="C832" s="1527"/>
      <c r="D832" s="1531" t="s">
        <v>2002</v>
      </c>
      <c r="E832" s="1532"/>
      <c r="F832" s="1532"/>
      <c r="G832" s="1533"/>
      <c r="I832" s="866"/>
      <c r="J832" s="866"/>
      <c r="K832" s="1010"/>
      <c r="L832" s="1011"/>
      <c r="M832" s="1013"/>
    </row>
    <row r="833" spans="1:13" outlineLevel="1" x14ac:dyDescent="0.2">
      <c r="A833" s="896" t="e">
        <v>#REF!</v>
      </c>
      <c r="B833" s="924"/>
      <c r="C833" s="1527"/>
      <c r="D833" s="1531" t="s">
        <v>2003</v>
      </c>
      <c r="E833" s="1532"/>
      <c r="F833" s="1532"/>
      <c r="G833" s="1533"/>
      <c r="I833" s="1009"/>
      <c r="J833" s="1009"/>
      <c r="K833" s="1010"/>
      <c r="L833" s="1011"/>
      <c r="M833" s="1014"/>
    </row>
    <row r="834" spans="1:13" outlineLevel="1" x14ac:dyDescent="0.2">
      <c r="A834" s="971">
        <v>825</v>
      </c>
      <c r="B834" s="924"/>
      <c r="D834" s="1531" t="s">
        <v>2004</v>
      </c>
      <c r="E834" s="1532"/>
      <c r="F834" s="1532"/>
      <c r="G834" s="1533"/>
      <c r="I834" s="866">
        <v>0</v>
      </c>
      <c r="J834" s="866"/>
      <c r="K834" s="1010"/>
      <c r="L834" s="1011"/>
      <c r="M834" s="939">
        <v>0</v>
      </c>
    </row>
    <row r="835" spans="1:13" outlineLevel="1" x14ac:dyDescent="0.2">
      <c r="A835" s="971">
        <v>826</v>
      </c>
      <c r="B835" s="924"/>
      <c r="D835" s="1531" t="s">
        <v>1147</v>
      </c>
      <c r="E835" s="1532"/>
      <c r="F835" s="1532"/>
      <c r="G835" s="1533"/>
      <c r="I835" s="866">
        <v>0</v>
      </c>
      <c r="J835" s="866"/>
      <c r="K835" s="1010"/>
      <c r="L835" s="1011"/>
      <c r="M835" s="939">
        <v>0</v>
      </c>
    </row>
    <row r="836" spans="1:13" outlineLevel="1" x14ac:dyDescent="0.2">
      <c r="A836" s="971">
        <v>827</v>
      </c>
      <c r="B836" s="924"/>
      <c r="D836" s="1531" t="s">
        <v>1148</v>
      </c>
      <c r="E836" s="1532"/>
      <c r="F836" s="1532"/>
      <c r="G836" s="1533"/>
      <c r="I836" s="866">
        <v>0</v>
      </c>
      <c r="J836" s="866"/>
      <c r="K836" s="1010"/>
      <c r="L836" s="1011"/>
      <c r="M836" s="939">
        <v>0</v>
      </c>
    </row>
    <row r="837" spans="1:13" outlineLevel="1" x14ac:dyDescent="0.2">
      <c r="A837" s="896">
        <v>828</v>
      </c>
      <c r="B837" s="924"/>
      <c r="D837" s="1531" t="s">
        <v>2005</v>
      </c>
      <c r="E837" s="1532"/>
      <c r="F837" s="1532"/>
      <c r="G837" s="1533"/>
      <c r="I837" s="866"/>
      <c r="J837" s="866"/>
      <c r="K837" s="1010"/>
      <c r="L837" s="1011"/>
      <c r="M837" s="939"/>
    </row>
    <row r="838" spans="1:13" outlineLevel="1" x14ac:dyDescent="0.2">
      <c r="A838" s="896">
        <v>829</v>
      </c>
      <c r="B838" s="924"/>
      <c r="C838" s="1527" t="s">
        <v>2006</v>
      </c>
      <c r="D838" s="1531" t="s">
        <v>622</v>
      </c>
      <c r="E838" s="1532"/>
      <c r="F838" s="1532"/>
      <c r="G838" s="1533"/>
      <c r="I838" s="1015"/>
      <c r="J838" s="1015"/>
      <c r="K838" s="1016"/>
      <c r="L838" s="1017"/>
      <c r="M838" s="873"/>
    </row>
    <row r="839" spans="1:13" outlineLevel="1" x14ac:dyDescent="0.2">
      <c r="A839" s="896">
        <v>830</v>
      </c>
      <c r="B839" s="924"/>
      <c r="C839" s="1527"/>
      <c r="D839" s="1531" t="s">
        <v>1196</v>
      </c>
      <c r="E839" s="1532"/>
      <c r="F839" s="1532"/>
      <c r="G839" s="1533"/>
      <c r="I839" s="1015"/>
      <c r="J839" s="1015"/>
      <c r="K839" s="1016"/>
      <c r="L839" s="1017"/>
      <c r="M839" s="873"/>
    </row>
    <row r="840" spans="1:13" outlineLevel="1" x14ac:dyDescent="0.2">
      <c r="A840" s="896">
        <v>831</v>
      </c>
      <c r="B840" s="924"/>
      <c r="C840" s="1527"/>
      <c r="D840" s="1531" t="s">
        <v>2007</v>
      </c>
      <c r="E840" s="1532"/>
      <c r="F840" s="1532"/>
      <c r="G840" s="1533"/>
      <c r="I840" s="1015"/>
      <c r="J840" s="1015"/>
      <c r="K840" s="1016"/>
      <c r="L840" s="1017"/>
      <c r="M840" s="873"/>
    </row>
    <row r="841" spans="1:13" outlineLevel="1" x14ac:dyDescent="0.2">
      <c r="A841" s="896">
        <v>832</v>
      </c>
      <c r="B841" s="924"/>
      <c r="C841" s="1527"/>
      <c r="D841" s="1531" t="s">
        <v>2008</v>
      </c>
      <c r="E841" s="1532"/>
      <c r="F841" s="1532"/>
      <c r="G841" s="1533"/>
      <c r="I841" s="1015"/>
      <c r="J841" s="1015"/>
      <c r="K841" s="1016"/>
      <c r="L841" s="1017"/>
      <c r="M841" s="873"/>
    </row>
    <row r="842" spans="1:13" outlineLevel="1" x14ac:dyDescent="0.2">
      <c r="A842" s="195">
        <v>833</v>
      </c>
      <c r="B842" s="924"/>
      <c r="C842" s="1527"/>
      <c r="D842" s="1531" t="s">
        <v>85</v>
      </c>
      <c r="E842" s="1532"/>
      <c r="F842" s="1532"/>
      <c r="G842" s="1533"/>
      <c r="I842" s="1015"/>
      <c r="J842" s="1015"/>
      <c r="K842" s="1018"/>
      <c r="L842" s="1019"/>
      <c r="M842" s="873"/>
    </row>
    <row r="843" spans="1:13" outlineLevel="1" x14ac:dyDescent="0.2">
      <c r="A843" s="1020"/>
      <c r="B843" s="1020"/>
      <c r="C843" s="833"/>
      <c r="D843" s="833"/>
      <c r="E843" s="833"/>
      <c r="F843" s="1021"/>
      <c r="G843" s="1022"/>
      <c r="H843" s="1022"/>
      <c r="I843" s="1023"/>
      <c r="J843" s="1023"/>
      <c r="K843" s="1024"/>
      <c r="L843" s="833"/>
      <c r="M843" s="833"/>
    </row>
    <row r="844" spans="1:13" x14ac:dyDescent="0.2">
      <c r="A844" s="1020"/>
      <c r="B844" s="1020"/>
      <c r="C844" s="833"/>
      <c r="D844" s="833"/>
      <c r="E844" s="833"/>
      <c r="F844" s="1021"/>
      <c r="G844" s="1022"/>
      <c r="H844" s="1022"/>
      <c r="I844" s="1023"/>
      <c r="J844" s="1023"/>
      <c r="K844" s="1024"/>
      <c r="L844" s="833"/>
      <c r="M844" s="833"/>
    </row>
    <row r="845" spans="1:13" x14ac:dyDescent="0.2">
      <c r="A845" s="1020"/>
      <c r="B845" s="1020"/>
      <c r="C845" s="833"/>
      <c r="D845" s="833"/>
      <c r="E845" s="833"/>
      <c r="F845" s="1021"/>
      <c r="G845" s="1022"/>
      <c r="H845" s="1022"/>
      <c r="I845" s="1023"/>
      <c r="J845" s="1023"/>
      <c r="K845" s="1024"/>
      <c r="L845" s="833"/>
      <c r="M845" s="833"/>
    </row>
    <row r="846" spans="1:13" x14ac:dyDescent="0.2">
      <c r="A846" s="1020"/>
      <c r="B846" s="1020"/>
      <c r="C846" s="833"/>
      <c r="D846" s="833"/>
      <c r="E846" s="833"/>
      <c r="F846" s="1021"/>
      <c r="G846" s="1022"/>
      <c r="H846" s="1022"/>
      <c r="I846" s="1023"/>
      <c r="J846" s="1023"/>
      <c r="K846" s="1024"/>
      <c r="L846" s="833"/>
      <c r="M846" s="833"/>
    </row>
    <row r="847" spans="1:13" x14ac:dyDescent="0.2">
      <c r="A847" s="1020"/>
      <c r="B847" s="1020"/>
      <c r="C847" s="833"/>
      <c r="D847" s="833"/>
      <c r="E847" s="833"/>
      <c r="F847" s="1021"/>
      <c r="G847" s="1022"/>
      <c r="H847" s="1022"/>
      <c r="I847" s="1023"/>
      <c r="J847" s="1023"/>
      <c r="K847" s="1024"/>
      <c r="L847" s="833"/>
      <c r="M847" s="833"/>
    </row>
    <row r="848" spans="1:13" x14ac:dyDescent="0.2">
      <c r="A848" s="1020"/>
      <c r="B848" s="1020"/>
      <c r="C848" s="833"/>
      <c r="D848" s="833"/>
      <c r="E848" s="833"/>
      <c r="F848" s="1021"/>
      <c r="G848" s="1022"/>
      <c r="H848" s="1022"/>
      <c r="I848" s="1023"/>
      <c r="J848" s="1023"/>
      <c r="K848" s="1024"/>
      <c r="L848" s="833"/>
      <c r="M848" s="833"/>
    </row>
    <row r="849" spans="1:13" x14ac:dyDescent="0.2">
      <c r="A849" s="1020"/>
      <c r="B849" s="1020"/>
      <c r="C849" s="833"/>
      <c r="D849" s="833"/>
      <c r="E849" s="833"/>
      <c r="F849" s="1021"/>
      <c r="G849" s="1022"/>
      <c r="H849" s="1022"/>
      <c r="I849" s="1023"/>
      <c r="J849" s="1023"/>
      <c r="K849" s="1024"/>
      <c r="L849" s="833"/>
      <c r="M849" s="833"/>
    </row>
    <row r="850" spans="1:13" x14ac:dyDescent="0.2">
      <c r="A850" s="1020"/>
      <c r="B850" s="1020"/>
      <c r="C850" s="1055"/>
      <c r="D850" s="833"/>
      <c r="E850" s="833"/>
      <c r="F850" s="1021"/>
      <c r="G850" s="1022"/>
      <c r="H850" s="1022"/>
      <c r="I850" s="1023"/>
      <c r="J850" s="1023"/>
      <c r="K850" s="1024"/>
      <c r="L850" s="833"/>
      <c r="M850" s="833"/>
    </row>
    <row r="851" spans="1:13" x14ac:dyDescent="0.2">
      <c r="A851" s="1020"/>
      <c r="B851" s="1020"/>
      <c r="C851" s="833"/>
      <c r="D851" s="833"/>
      <c r="E851" s="833"/>
      <c r="F851" s="1021"/>
      <c r="G851" s="1022"/>
      <c r="H851" s="1022"/>
      <c r="I851" s="1023"/>
      <c r="J851" s="1023"/>
      <c r="K851" s="1024"/>
      <c r="L851" s="833"/>
      <c r="M851" s="833"/>
    </row>
    <row r="852" spans="1:13" s="192" customFormat="1" x14ac:dyDescent="0.2">
      <c r="A852" s="1657"/>
      <c r="B852" s="1657"/>
      <c r="C852" s="1656" t="s">
        <v>2090</v>
      </c>
      <c r="D852" s="1655"/>
      <c r="E852" s="1655"/>
      <c r="F852" s="1658"/>
      <c r="G852" s="1659"/>
      <c r="H852" s="1659"/>
      <c r="I852" s="1660"/>
      <c r="J852" s="1660"/>
      <c r="K852" s="1661"/>
      <c r="L852" s="1655"/>
      <c r="M852" s="1655"/>
    </row>
    <row r="853" spans="1:13" ht="31.5" outlineLevel="1" x14ac:dyDescent="0.2">
      <c r="A853" s="1020"/>
      <c r="B853" s="1020"/>
      <c r="C853" s="1108" t="s">
        <v>1406</v>
      </c>
      <c r="D853" s="1563" t="s">
        <v>1314</v>
      </c>
      <c r="E853" s="1564"/>
      <c r="F853" s="1564"/>
      <c r="G853" s="1565"/>
      <c r="H853" s="1108" t="s">
        <v>1407</v>
      </c>
      <c r="I853" s="1108" t="s">
        <v>1614</v>
      </c>
      <c r="J853" s="1108" t="s">
        <v>2009</v>
      </c>
      <c r="K853" s="1024"/>
      <c r="L853" s="833"/>
      <c r="M853" s="833"/>
    </row>
    <row r="854" spans="1:13" ht="26.25" customHeight="1" outlineLevel="1" x14ac:dyDescent="0.2">
      <c r="A854" s="1020"/>
      <c r="B854" s="1020"/>
      <c r="C854" s="884">
        <v>9</v>
      </c>
      <c r="D854" s="1534" t="s">
        <v>2010</v>
      </c>
      <c r="E854" s="1535"/>
      <c r="F854" s="1535"/>
      <c r="G854" s="1536"/>
      <c r="H854" s="1025"/>
      <c r="I854" s="1026"/>
      <c r="J854" s="1027"/>
      <c r="K854" s="1024"/>
      <c r="L854" s="833"/>
      <c r="M854" s="833"/>
    </row>
    <row r="855" spans="1:13" outlineLevel="1" x14ac:dyDescent="0.2">
      <c r="A855" s="1020"/>
      <c r="B855" s="1020"/>
      <c r="C855" s="884">
        <v>10</v>
      </c>
      <c r="D855" s="1534" t="s">
        <v>2011</v>
      </c>
      <c r="E855" s="1535"/>
      <c r="F855" s="1535"/>
      <c r="G855" s="1536"/>
      <c r="H855" s="1025"/>
      <c r="I855" s="1026"/>
      <c r="J855" s="1027"/>
      <c r="K855" s="1024"/>
      <c r="L855" s="833"/>
      <c r="M855" s="833"/>
    </row>
    <row r="856" spans="1:13" outlineLevel="1" x14ac:dyDescent="0.2">
      <c r="A856" s="1020"/>
      <c r="B856" s="1020"/>
      <c r="C856" s="924">
        <v>11</v>
      </c>
      <c r="D856" s="1531" t="s">
        <v>1149</v>
      </c>
      <c r="E856" s="1532"/>
      <c r="F856" s="1532"/>
      <c r="G856" s="1533"/>
      <c r="H856" s="1025">
        <f>+H5</f>
        <v>0</v>
      </c>
      <c r="I856" s="1025">
        <f>+L5</f>
        <v>0</v>
      </c>
      <c r="J856" s="1027">
        <f>+H856-I856</f>
        <v>0</v>
      </c>
      <c r="K856" s="1024"/>
      <c r="L856" s="833"/>
      <c r="M856" s="833"/>
    </row>
    <row r="857" spans="1:13" outlineLevel="1" x14ac:dyDescent="0.2">
      <c r="A857" s="1020"/>
      <c r="B857" s="1020"/>
      <c r="C857" s="924">
        <v>12</v>
      </c>
      <c r="D857" s="1531" t="s">
        <v>1150</v>
      </c>
      <c r="E857" s="1532"/>
      <c r="F857" s="1532"/>
      <c r="G857" s="1533"/>
      <c r="H857" s="1025">
        <f>+H9</f>
        <v>0</v>
      </c>
      <c r="I857" s="1025">
        <f>+L9</f>
        <v>0</v>
      </c>
      <c r="J857" s="1027">
        <f t="shared" ref="J857:J868" si="191">+H857-I857</f>
        <v>0</v>
      </c>
      <c r="K857" s="1024"/>
      <c r="L857" s="833"/>
      <c r="M857" s="833"/>
    </row>
    <row r="858" spans="1:13" outlineLevel="1" x14ac:dyDescent="0.2">
      <c r="A858" s="1020"/>
      <c r="B858" s="1020"/>
      <c r="C858" s="924">
        <v>13</v>
      </c>
      <c r="D858" s="1531" t="s">
        <v>946</v>
      </c>
      <c r="E858" s="1532"/>
      <c r="F858" s="1532"/>
      <c r="G858" s="1533"/>
      <c r="H858" s="1025">
        <f>+H32</f>
        <v>0</v>
      </c>
      <c r="I858" s="1025">
        <f>+L32</f>
        <v>0</v>
      </c>
      <c r="J858" s="1027">
        <f t="shared" si="191"/>
        <v>0</v>
      </c>
      <c r="K858" s="1024"/>
      <c r="L858" s="833"/>
      <c r="M858" s="833"/>
    </row>
    <row r="859" spans="1:13" outlineLevel="1" x14ac:dyDescent="0.2">
      <c r="A859" s="1020"/>
      <c r="B859" s="1020"/>
      <c r="C859" s="924">
        <v>14</v>
      </c>
      <c r="D859" s="1531" t="s">
        <v>143</v>
      </c>
      <c r="E859" s="1532"/>
      <c r="F859" s="1532"/>
      <c r="G859" s="1533"/>
      <c r="H859" s="1025">
        <f>+H55</f>
        <v>0</v>
      </c>
      <c r="I859" s="1025">
        <f>+L55</f>
        <v>0</v>
      </c>
      <c r="J859" s="1027">
        <f t="shared" si="191"/>
        <v>0</v>
      </c>
      <c r="K859" s="1024"/>
      <c r="L859" s="833"/>
      <c r="M859" s="833"/>
    </row>
    <row r="860" spans="1:13" outlineLevel="1" x14ac:dyDescent="0.2">
      <c r="A860" s="1020"/>
      <c r="B860" s="1020"/>
      <c r="C860" s="924">
        <v>15</v>
      </c>
      <c r="D860" s="1531" t="s">
        <v>11</v>
      </c>
      <c r="E860" s="1532"/>
      <c r="F860" s="1532"/>
      <c r="G860" s="1533"/>
      <c r="H860" s="1025">
        <f>+H67</f>
        <v>0</v>
      </c>
      <c r="I860" s="1025">
        <f>+L67</f>
        <v>0</v>
      </c>
      <c r="J860" s="1027">
        <f t="shared" si="191"/>
        <v>0</v>
      </c>
      <c r="K860" s="1024"/>
      <c r="L860" s="833"/>
      <c r="M860" s="833"/>
    </row>
    <row r="861" spans="1:13" outlineLevel="1" x14ac:dyDescent="0.2">
      <c r="A861" s="1020"/>
      <c r="B861" s="1020"/>
      <c r="C861" s="924">
        <v>16</v>
      </c>
      <c r="D861" s="1531" t="s">
        <v>1462</v>
      </c>
      <c r="E861" s="1532"/>
      <c r="F861" s="1532"/>
      <c r="G861" s="1533"/>
      <c r="H861" s="1025">
        <f>+H72</f>
        <v>0</v>
      </c>
      <c r="I861" s="1025">
        <f>+L72</f>
        <v>0</v>
      </c>
      <c r="J861" s="1027">
        <f t="shared" si="191"/>
        <v>0</v>
      </c>
      <c r="K861" s="1024"/>
      <c r="L861" s="833"/>
      <c r="M861" s="833"/>
    </row>
    <row r="862" spans="1:13" outlineLevel="1" x14ac:dyDescent="0.2">
      <c r="A862" s="1020"/>
      <c r="B862" s="1020"/>
      <c r="C862" s="924">
        <v>17</v>
      </c>
      <c r="D862" s="1531" t="s">
        <v>144</v>
      </c>
      <c r="E862" s="1532"/>
      <c r="F862" s="1532"/>
      <c r="G862" s="1533"/>
      <c r="H862" s="1025">
        <f>+H77</f>
        <v>0</v>
      </c>
      <c r="I862" s="1025">
        <f>+L77</f>
        <v>0</v>
      </c>
      <c r="J862" s="1027">
        <f t="shared" si="191"/>
        <v>0</v>
      </c>
    </row>
    <row r="863" spans="1:13" outlineLevel="1" x14ac:dyDescent="0.2">
      <c r="A863" s="1020"/>
      <c r="B863" s="1020"/>
      <c r="C863" s="924">
        <v>18</v>
      </c>
      <c r="D863" s="1531" t="s">
        <v>431</v>
      </c>
      <c r="E863" s="1532"/>
      <c r="F863" s="1532"/>
      <c r="G863" s="1533"/>
      <c r="H863" s="1025">
        <f>+H78</f>
        <v>0</v>
      </c>
      <c r="I863" s="1025">
        <f>+L78</f>
        <v>0</v>
      </c>
      <c r="J863" s="1027">
        <f t="shared" si="191"/>
        <v>0</v>
      </c>
    </row>
    <row r="864" spans="1:13" outlineLevel="1" x14ac:dyDescent="0.2">
      <c r="A864" s="1020"/>
      <c r="B864" s="1020"/>
      <c r="C864" s="924">
        <v>19</v>
      </c>
      <c r="D864" s="1531" t="s">
        <v>1475</v>
      </c>
      <c r="E864" s="1532"/>
      <c r="F864" s="1532"/>
      <c r="G864" s="1533"/>
      <c r="H864" s="1025">
        <f>+H88</f>
        <v>0</v>
      </c>
      <c r="I864" s="1025">
        <f>+L88</f>
        <v>0</v>
      </c>
      <c r="J864" s="1027">
        <f t="shared" si="191"/>
        <v>0</v>
      </c>
    </row>
    <row r="865" spans="1:10" outlineLevel="1" x14ac:dyDescent="0.2">
      <c r="A865" s="1020"/>
      <c r="B865" s="1020"/>
      <c r="C865" s="924">
        <v>20</v>
      </c>
      <c r="D865" s="1531" t="s">
        <v>2012</v>
      </c>
      <c r="E865" s="1532"/>
      <c r="F865" s="1532"/>
      <c r="G865" s="1533"/>
      <c r="H865" s="1025">
        <f>+H107</f>
        <v>0</v>
      </c>
      <c r="I865" s="1025">
        <f>+L107</f>
        <v>0</v>
      </c>
      <c r="J865" s="1027">
        <f t="shared" si="191"/>
        <v>0</v>
      </c>
    </row>
    <row r="866" spans="1:10" outlineLevel="1" x14ac:dyDescent="0.2">
      <c r="A866" s="1020"/>
      <c r="B866" s="1020"/>
      <c r="C866" s="924">
        <v>21</v>
      </c>
      <c r="D866" s="1531" t="s">
        <v>1731</v>
      </c>
      <c r="E866" s="1532"/>
      <c r="F866" s="1532"/>
      <c r="G866" s="1533"/>
      <c r="H866" s="1025">
        <f>+H112</f>
        <v>0</v>
      </c>
      <c r="I866" s="1025">
        <f>+L112</f>
        <v>0</v>
      </c>
      <c r="J866" s="1027">
        <f t="shared" si="191"/>
        <v>0</v>
      </c>
    </row>
    <row r="867" spans="1:10" outlineLevel="1" x14ac:dyDescent="0.2">
      <c r="A867" s="1020"/>
      <c r="B867" s="1020"/>
      <c r="C867" s="924">
        <v>22</v>
      </c>
      <c r="D867" s="1531" t="s">
        <v>2013</v>
      </c>
      <c r="E867" s="1532"/>
      <c r="F867" s="1532"/>
      <c r="G867" s="1533"/>
      <c r="H867" s="1025">
        <f>+H117</f>
        <v>0</v>
      </c>
      <c r="I867" s="1025">
        <f>+L117</f>
        <v>0</v>
      </c>
      <c r="J867" s="1027">
        <f t="shared" si="191"/>
        <v>0</v>
      </c>
    </row>
    <row r="868" spans="1:10" outlineLevel="1" x14ac:dyDescent="0.2">
      <c r="A868" s="1020"/>
      <c r="B868" s="1020"/>
      <c r="C868" s="924">
        <v>23</v>
      </c>
      <c r="D868" s="1531" t="s">
        <v>1160</v>
      </c>
      <c r="E868" s="1532"/>
      <c r="F868" s="1532"/>
      <c r="G868" s="1533"/>
      <c r="H868" s="1025">
        <f>+H134</f>
        <v>0</v>
      </c>
      <c r="I868" s="1025">
        <f>+L134</f>
        <v>0</v>
      </c>
      <c r="J868" s="1027">
        <f t="shared" si="191"/>
        <v>0</v>
      </c>
    </row>
    <row r="869" spans="1:10" outlineLevel="1" x14ac:dyDescent="0.2">
      <c r="A869" s="1020"/>
      <c r="B869" s="1020"/>
      <c r="C869" s="884">
        <v>25</v>
      </c>
      <c r="D869" s="1534" t="s">
        <v>54</v>
      </c>
      <c r="E869" s="1535"/>
      <c r="F869" s="1535"/>
      <c r="G869" s="1536"/>
      <c r="H869" s="1028">
        <f>SUM(H856:H868)</f>
        <v>0</v>
      </c>
      <c r="I869" s="1028">
        <f>SUM(I856:I868)</f>
        <v>0</v>
      </c>
      <c r="J869" s="1028">
        <f>SUM(J856:J868)</f>
        <v>0</v>
      </c>
    </row>
    <row r="870" spans="1:10" outlineLevel="1" x14ac:dyDescent="0.2">
      <c r="A870" s="1020"/>
      <c r="B870" s="1020"/>
      <c r="C870" s="1140">
        <v>26</v>
      </c>
      <c r="D870" s="1534" t="s">
        <v>17</v>
      </c>
      <c r="E870" s="1535"/>
      <c r="F870" s="1535"/>
      <c r="G870" s="1536"/>
      <c r="H870" s="15"/>
      <c r="I870" s="15"/>
      <c r="J870" s="15"/>
    </row>
    <row r="871" spans="1:10" outlineLevel="1" x14ac:dyDescent="0.2">
      <c r="A871" s="1020"/>
      <c r="B871" s="1020"/>
      <c r="C871" s="924">
        <v>27</v>
      </c>
      <c r="D871" s="1531" t="s">
        <v>1520</v>
      </c>
      <c r="E871" s="1532"/>
      <c r="F871" s="1532"/>
      <c r="G871" s="1533"/>
      <c r="H871" s="1029">
        <f>+H140</f>
        <v>0</v>
      </c>
      <c r="I871" s="1029">
        <f>+L140</f>
        <v>0</v>
      </c>
      <c r="J871" s="1027">
        <f t="shared" ref="J871:J879" si="192">+H871-I871</f>
        <v>0</v>
      </c>
    </row>
    <row r="872" spans="1:10" outlineLevel="1" x14ac:dyDescent="0.2">
      <c r="A872" s="1020"/>
      <c r="B872" s="1020"/>
      <c r="C872" s="924">
        <v>28</v>
      </c>
      <c r="D872" s="1531" t="s">
        <v>1533</v>
      </c>
      <c r="E872" s="1532"/>
      <c r="F872" s="1532"/>
      <c r="G872" s="1533"/>
      <c r="H872" s="1029">
        <f>+H153</f>
        <v>0</v>
      </c>
      <c r="I872" s="1029">
        <f>+L153</f>
        <v>0</v>
      </c>
      <c r="J872" s="1027">
        <f t="shared" si="192"/>
        <v>0</v>
      </c>
    </row>
    <row r="873" spans="1:10" outlineLevel="1" x14ac:dyDescent="0.2">
      <c r="A873" s="1020"/>
      <c r="B873" s="1020"/>
      <c r="C873" s="924">
        <v>29</v>
      </c>
      <c r="D873" s="1531" t="s">
        <v>1537</v>
      </c>
      <c r="E873" s="1532"/>
      <c r="F873" s="1532"/>
      <c r="G873" s="1533"/>
      <c r="H873" s="1029">
        <f>+H157</f>
        <v>0</v>
      </c>
      <c r="I873" s="1029">
        <f>+L157</f>
        <v>0</v>
      </c>
      <c r="J873" s="1027">
        <f t="shared" si="192"/>
        <v>0</v>
      </c>
    </row>
    <row r="874" spans="1:10" outlineLevel="1" x14ac:dyDescent="0.2">
      <c r="A874" s="1020"/>
      <c r="B874" s="1020"/>
      <c r="C874" s="924">
        <v>30</v>
      </c>
      <c r="D874" s="1531" t="s">
        <v>1541</v>
      </c>
      <c r="E874" s="1532"/>
      <c r="F874" s="1532"/>
      <c r="G874" s="1533"/>
      <c r="H874" s="1029">
        <f>+H163</f>
        <v>0</v>
      </c>
      <c r="I874" s="1029">
        <f>+L163</f>
        <v>0</v>
      </c>
      <c r="J874" s="1027">
        <f t="shared" si="192"/>
        <v>0</v>
      </c>
    </row>
    <row r="875" spans="1:10" outlineLevel="1" x14ac:dyDescent="0.2">
      <c r="A875" s="1020"/>
      <c r="B875" s="1020"/>
      <c r="C875" s="924">
        <v>31</v>
      </c>
      <c r="D875" s="1531" t="s">
        <v>127</v>
      </c>
      <c r="E875" s="1532"/>
      <c r="F875" s="1532"/>
      <c r="G875" s="1533"/>
      <c r="H875" s="1029">
        <f>+H167</f>
        <v>0</v>
      </c>
      <c r="I875" s="1029">
        <f>+L167</f>
        <v>0</v>
      </c>
      <c r="J875" s="1027">
        <f t="shared" si="192"/>
        <v>0</v>
      </c>
    </row>
    <row r="876" spans="1:10" outlineLevel="1" x14ac:dyDescent="0.2">
      <c r="A876" s="1020"/>
      <c r="B876" s="1020"/>
      <c r="C876" s="924">
        <v>32</v>
      </c>
      <c r="D876" s="1531" t="s">
        <v>1545</v>
      </c>
      <c r="E876" s="1532"/>
      <c r="F876" s="1532"/>
      <c r="G876" s="1533"/>
      <c r="H876" s="1029">
        <f>+H168</f>
        <v>0</v>
      </c>
      <c r="I876" s="1029">
        <f>+L168</f>
        <v>0</v>
      </c>
      <c r="J876" s="1027">
        <f t="shared" si="192"/>
        <v>0</v>
      </c>
    </row>
    <row r="877" spans="1:10" outlineLevel="1" x14ac:dyDescent="0.2">
      <c r="A877" s="1020"/>
      <c r="B877" s="1020"/>
      <c r="C877" s="924">
        <v>33</v>
      </c>
      <c r="D877" s="1531" t="s">
        <v>1550</v>
      </c>
      <c r="E877" s="1532"/>
      <c r="F877" s="1532"/>
      <c r="G877" s="1533"/>
      <c r="H877" s="1029">
        <f>+H173</f>
        <v>0</v>
      </c>
      <c r="I877" s="1029">
        <f>+L173</f>
        <v>0</v>
      </c>
      <c r="J877" s="1027">
        <f t="shared" si="192"/>
        <v>0</v>
      </c>
    </row>
    <row r="878" spans="1:10" outlineLevel="1" x14ac:dyDescent="0.2">
      <c r="A878" s="1020"/>
      <c r="B878" s="1020"/>
      <c r="C878" s="924">
        <v>34</v>
      </c>
      <c r="D878" s="1531" t="s">
        <v>1561</v>
      </c>
      <c r="E878" s="1532"/>
      <c r="F878" s="1532"/>
      <c r="G878" s="1533"/>
      <c r="H878" s="1029">
        <f>+H185</f>
        <v>0</v>
      </c>
      <c r="I878" s="1029">
        <f>+L185</f>
        <v>0</v>
      </c>
      <c r="J878" s="1027">
        <f t="shared" si="192"/>
        <v>0</v>
      </c>
    </row>
    <row r="879" spans="1:10" outlineLevel="1" x14ac:dyDescent="0.2">
      <c r="A879" s="1020"/>
      <c r="B879" s="1020"/>
      <c r="C879" s="924">
        <v>35</v>
      </c>
      <c r="D879" s="1531" t="s">
        <v>1566</v>
      </c>
      <c r="E879" s="1532"/>
      <c r="F879" s="1532"/>
      <c r="G879" s="1533"/>
      <c r="H879" s="1029">
        <f>+H190</f>
        <v>0</v>
      </c>
      <c r="I879" s="1029">
        <f>+L190</f>
        <v>0</v>
      </c>
      <c r="J879" s="1027">
        <f t="shared" si="192"/>
        <v>0</v>
      </c>
    </row>
    <row r="880" spans="1:10" outlineLevel="1" x14ac:dyDescent="0.2">
      <c r="A880" s="1020"/>
      <c r="B880" s="1020"/>
      <c r="C880" s="884">
        <v>36</v>
      </c>
      <c r="D880" s="1534" t="s">
        <v>55</v>
      </c>
      <c r="E880" s="1535"/>
      <c r="F880" s="1535"/>
      <c r="G880" s="1536"/>
      <c r="H880" s="1028">
        <f>SUM(H871:H879)</f>
        <v>0</v>
      </c>
      <c r="I880" s="1028">
        <f t="shared" ref="I880:J880" si="193">SUM(I871:I879)</f>
        <v>0</v>
      </c>
      <c r="J880" s="1028">
        <f t="shared" si="193"/>
        <v>0</v>
      </c>
    </row>
    <row r="881" spans="1:11" outlineLevel="1" x14ac:dyDescent="0.2">
      <c r="A881" s="1020"/>
      <c r="B881" s="1020"/>
      <c r="C881" s="1140">
        <v>37</v>
      </c>
      <c r="D881" s="1534" t="s">
        <v>19</v>
      </c>
      <c r="E881" s="1535"/>
      <c r="F881" s="1535"/>
      <c r="G881" s="1536"/>
    </row>
    <row r="882" spans="1:11" outlineLevel="1" x14ac:dyDescent="0.2">
      <c r="A882" s="1020"/>
      <c r="B882" s="1020"/>
      <c r="C882" s="924">
        <v>38</v>
      </c>
      <c r="D882" s="1531" t="s">
        <v>1578</v>
      </c>
      <c r="E882" s="1532"/>
      <c r="F882" s="1532"/>
      <c r="G882" s="1533"/>
      <c r="H882" s="1029">
        <f>+H202</f>
        <v>0</v>
      </c>
      <c r="I882" s="1028"/>
      <c r="J882" s="1030"/>
    </row>
    <row r="883" spans="1:11" outlineLevel="1" x14ac:dyDescent="0.2">
      <c r="A883" s="1020"/>
      <c r="B883" s="1020"/>
      <c r="C883" s="924">
        <v>39</v>
      </c>
      <c r="D883" s="1531" t="s">
        <v>504</v>
      </c>
      <c r="E883" s="1532"/>
      <c r="F883" s="1532"/>
      <c r="G883" s="1533"/>
      <c r="H883" s="1029">
        <f>+H219</f>
        <v>0</v>
      </c>
      <c r="I883" s="1028"/>
      <c r="J883" s="1030"/>
    </row>
    <row r="884" spans="1:11" outlineLevel="1" x14ac:dyDescent="0.2">
      <c r="A884" s="1020"/>
      <c r="B884" s="1020"/>
      <c r="C884" s="924">
        <v>40</v>
      </c>
      <c r="D884" s="1531" t="s">
        <v>1595</v>
      </c>
      <c r="E884" s="1532"/>
      <c r="F884" s="1532"/>
      <c r="G884" s="1533"/>
      <c r="H884" s="1029">
        <f>+H224</f>
        <v>0</v>
      </c>
      <c r="I884" s="1028"/>
      <c r="J884" s="1030"/>
    </row>
    <row r="885" spans="1:11" ht="24" customHeight="1" outlineLevel="1" x14ac:dyDescent="0.2">
      <c r="A885" s="1020"/>
      <c r="B885" s="1020"/>
      <c r="C885" s="924">
        <v>41</v>
      </c>
      <c r="D885" s="1531" t="s">
        <v>2014</v>
      </c>
      <c r="E885" s="1532"/>
      <c r="F885" s="1532"/>
      <c r="G885" s="1533"/>
      <c r="H885" s="1029">
        <v>0</v>
      </c>
      <c r="I885" s="1028"/>
      <c r="J885" s="1030"/>
    </row>
    <row r="886" spans="1:11" outlineLevel="1" x14ac:dyDescent="0.2">
      <c r="A886" s="1020"/>
      <c r="B886" s="1020"/>
      <c r="C886" s="924">
        <v>42</v>
      </c>
      <c r="D886" s="1531" t="s">
        <v>1606</v>
      </c>
      <c r="E886" s="1532"/>
      <c r="F886" s="1532"/>
      <c r="G886" s="1533"/>
      <c r="H886" s="1029">
        <v>0</v>
      </c>
      <c r="I886" s="1028"/>
      <c r="J886" s="1030"/>
    </row>
    <row r="887" spans="1:11" outlineLevel="1" x14ac:dyDescent="0.2">
      <c r="A887" s="1020"/>
      <c r="B887" s="1020"/>
      <c r="C887" s="924">
        <v>43</v>
      </c>
      <c r="D887" s="190" t="s">
        <v>2015</v>
      </c>
      <c r="H887" s="1028">
        <f>SUM(H882:H886)</f>
        <v>0</v>
      </c>
      <c r="I887" s="1028"/>
      <c r="J887" s="1030"/>
      <c r="K887" s="1161">
        <f>+H869-H880-H887</f>
        <v>0</v>
      </c>
    </row>
    <row r="888" spans="1:11" ht="24.75" customHeight="1" outlineLevel="1" x14ac:dyDescent="0.2">
      <c r="A888" s="1020"/>
      <c r="B888" s="1020"/>
      <c r="C888" s="884">
        <v>44</v>
      </c>
      <c r="D888" s="1534" t="s">
        <v>2016</v>
      </c>
      <c r="E888" s="1535"/>
      <c r="F888" s="1535"/>
      <c r="G888" s="1536"/>
      <c r="H888" s="1029"/>
      <c r="I888" s="1029"/>
      <c r="J888" s="1029"/>
    </row>
    <row r="889" spans="1:11" outlineLevel="1" x14ac:dyDescent="0.2">
      <c r="A889" s="1020"/>
      <c r="B889" s="1020"/>
      <c r="C889" s="1140">
        <v>45</v>
      </c>
      <c r="D889" s="1534" t="s">
        <v>622</v>
      </c>
      <c r="E889" s="1535"/>
      <c r="F889" s="1535"/>
      <c r="G889" s="1536"/>
      <c r="H889" s="1029"/>
      <c r="I889" s="1029"/>
      <c r="J889" s="1029"/>
    </row>
    <row r="890" spans="1:11" outlineLevel="1" x14ac:dyDescent="0.2">
      <c r="A890" s="1020"/>
      <c r="B890" s="1020"/>
      <c r="C890" s="924">
        <v>46</v>
      </c>
      <c r="D890" s="1531" t="s">
        <v>1633</v>
      </c>
      <c r="E890" s="1532"/>
      <c r="F890" s="1532"/>
      <c r="G890" s="1533"/>
      <c r="H890" s="1029">
        <f>+H262</f>
        <v>0</v>
      </c>
      <c r="I890" s="1029">
        <f>+L262</f>
        <v>0</v>
      </c>
      <c r="J890" s="1027">
        <f t="shared" ref="J890:J903" si="194">+H890-I890</f>
        <v>0</v>
      </c>
    </row>
    <row r="891" spans="1:11" outlineLevel="1" x14ac:dyDescent="0.2">
      <c r="A891" s="1020"/>
      <c r="B891" s="1020"/>
      <c r="C891" s="924">
        <v>47</v>
      </c>
      <c r="D891" s="1531" t="s">
        <v>2017</v>
      </c>
      <c r="E891" s="1532"/>
      <c r="F891" s="1532"/>
      <c r="G891" s="1533"/>
      <c r="H891" s="1029">
        <f>-H285</f>
        <v>0</v>
      </c>
      <c r="I891" s="1029">
        <f>-L285</f>
        <v>0</v>
      </c>
      <c r="J891" s="1027">
        <f t="shared" si="194"/>
        <v>0</v>
      </c>
    </row>
    <row r="892" spans="1:11" outlineLevel="1" x14ac:dyDescent="0.2">
      <c r="A892" s="1020"/>
      <c r="B892" s="1020"/>
      <c r="C892" s="924">
        <v>48</v>
      </c>
      <c r="D892" s="1531" t="s">
        <v>1652</v>
      </c>
      <c r="E892" s="1532"/>
      <c r="F892" s="1532"/>
      <c r="G892" s="1533"/>
      <c r="H892" s="1029">
        <f>+H289</f>
        <v>0</v>
      </c>
      <c r="I892" s="1029">
        <f>+L289</f>
        <v>0</v>
      </c>
      <c r="J892" s="1027">
        <f t="shared" si="194"/>
        <v>0</v>
      </c>
    </row>
    <row r="893" spans="1:11" outlineLevel="1" x14ac:dyDescent="0.2">
      <c r="A893" s="1020"/>
      <c r="B893" s="1020"/>
      <c r="C893" s="924">
        <v>49</v>
      </c>
      <c r="D893" s="1531" t="s">
        <v>2018</v>
      </c>
      <c r="E893" s="1532"/>
      <c r="F893" s="1532"/>
      <c r="G893" s="1533"/>
      <c r="H893" s="1029"/>
      <c r="I893" s="1029"/>
      <c r="J893" s="1027"/>
    </row>
    <row r="894" spans="1:11" outlineLevel="1" x14ac:dyDescent="0.2">
      <c r="A894" s="1020"/>
      <c r="B894" s="1020"/>
      <c r="C894" s="924">
        <v>50</v>
      </c>
      <c r="D894" s="1531" t="s">
        <v>1662</v>
      </c>
      <c r="E894" s="1532"/>
      <c r="F894" s="1532"/>
      <c r="G894" s="1533"/>
      <c r="H894" s="1029">
        <f>+H308</f>
        <v>0</v>
      </c>
      <c r="I894" s="1029">
        <f>+L308</f>
        <v>0</v>
      </c>
      <c r="J894" s="1027">
        <f t="shared" si="194"/>
        <v>0</v>
      </c>
    </row>
    <row r="895" spans="1:11" outlineLevel="1" x14ac:dyDescent="0.2">
      <c r="A895" s="1020"/>
      <c r="B895" s="1020"/>
      <c r="C895" s="924">
        <v>51</v>
      </c>
      <c r="D895" s="1531" t="s">
        <v>2019</v>
      </c>
      <c r="E895" s="1532"/>
      <c r="F895" s="1532"/>
      <c r="G895" s="1533"/>
      <c r="H895" s="1029">
        <f>+H314</f>
        <v>0</v>
      </c>
      <c r="I895" s="1029">
        <f>+L314</f>
        <v>0</v>
      </c>
      <c r="J895" s="1027">
        <f t="shared" si="194"/>
        <v>0</v>
      </c>
    </row>
    <row r="896" spans="1:11" outlineLevel="1" x14ac:dyDescent="0.2">
      <c r="A896" s="1020"/>
      <c r="B896" s="1020"/>
      <c r="C896" s="924">
        <v>52</v>
      </c>
      <c r="D896" s="1531" t="s">
        <v>2020</v>
      </c>
      <c r="E896" s="1532"/>
      <c r="F896" s="1532"/>
      <c r="G896" s="1533"/>
      <c r="H896" s="1029">
        <f>+H323</f>
        <v>0</v>
      </c>
      <c r="I896" s="1029">
        <f>+L323</f>
        <v>0</v>
      </c>
      <c r="J896" s="1027">
        <f t="shared" si="194"/>
        <v>0</v>
      </c>
    </row>
    <row r="897" spans="1:13" outlineLevel="1" x14ac:dyDescent="0.2">
      <c r="A897" s="1020"/>
      <c r="B897" s="1020"/>
      <c r="C897" s="924">
        <v>53</v>
      </c>
      <c r="D897" s="1531" t="s">
        <v>1673</v>
      </c>
      <c r="E897" s="1532"/>
      <c r="F897" s="1532"/>
      <c r="G897" s="1533"/>
      <c r="H897" s="1029">
        <f>+H332</f>
        <v>0</v>
      </c>
      <c r="I897" s="1029">
        <f>+L332</f>
        <v>0</v>
      </c>
      <c r="J897" s="1027">
        <f t="shared" si="194"/>
        <v>0</v>
      </c>
    </row>
    <row r="898" spans="1:13" outlineLevel="1" x14ac:dyDescent="0.2">
      <c r="A898" s="1020"/>
      <c r="B898" s="1020"/>
      <c r="C898" s="924">
        <v>54</v>
      </c>
      <c r="D898" s="1531" t="s">
        <v>1682</v>
      </c>
      <c r="E898" s="1532"/>
      <c r="F898" s="1532"/>
      <c r="G898" s="1533"/>
      <c r="H898" s="1029">
        <f>+H345</f>
        <v>0</v>
      </c>
      <c r="I898" s="1029">
        <f>+L345</f>
        <v>0</v>
      </c>
      <c r="J898" s="1027">
        <f t="shared" si="194"/>
        <v>0</v>
      </c>
    </row>
    <row r="899" spans="1:13" outlineLevel="1" x14ac:dyDescent="0.2">
      <c r="A899" s="1020"/>
      <c r="B899" s="1020"/>
      <c r="C899" s="924">
        <v>55</v>
      </c>
      <c r="D899" s="1531" t="s">
        <v>1684</v>
      </c>
      <c r="E899" s="1532"/>
      <c r="F899" s="1532"/>
      <c r="G899" s="1533"/>
      <c r="H899" s="1029">
        <f>+H353</f>
        <v>0</v>
      </c>
      <c r="I899" s="1029">
        <f>+L353</f>
        <v>0</v>
      </c>
      <c r="J899" s="1027">
        <f t="shared" si="194"/>
        <v>0</v>
      </c>
    </row>
    <row r="900" spans="1:13" outlineLevel="1" x14ac:dyDescent="0.2">
      <c r="A900" s="1020"/>
      <c r="B900" s="1020"/>
      <c r="C900" s="924">
        <v>56</v>
      </c>
      <c r="D900" s="1531" t="s">
        <v>146</v>
      </c>
      <c r="E900" s="1532"/>
      <c r="F900" s="1532"/>
      <c r="G900" s="1533"/>
      <c r="H900" s="1029">
        <f>+H358</f>
        <v>0</v>
      </c>
      <c r="I900" s="1029">
        <f>+L358</f>
        <v>0</v>
      </c>
      <c r="J900" s="1027">
        <f t="shared" si="194"/>
        <v>0</v>
      </c>
    </row>
    <row r="901" spans="1:13" outlineLevel="1" x14ac:dyDescent="0.2">
      <c r="A901" s="1020"/>
      <c r="B901" s="1020"/>
      <c r="C901" s="924">
        <v>57</v>
      </c>
      <c r="D901" s="1531" t="s">
        <v>1694</v>
      </c>
      <c r="E901" s="1532"/>
      <c r="F901" s="1532"/>
      <c r="G901" s="1533"/>
      <c r="H901" s="1029">
        <f>+H365</f>
        <v>0</v>
      </c>
      <c r="I901" s="1029">
        <f>+L365</f>
        <v>0</v>
      </c>
      <c r="J901" s="1027">
        <f t="shared" si="194"/>
        <v>0</v>
      </c>
    </row>
    <row r="902" spans="1:13" outlineLevel="1" x14ac:dyDescent="0.2">
      <c r="A902" s="1020"/>
      <c r="B902" s="1020"/>
      <c r="C902" s="924">
        <v>58</v>
      </c>
      <c r="D902" s="1531" t="s">
        <v>1695</v>
      </c>
      <c r="E902" s="1532"/>
      <c r="F902" s="1532"/>
      <c r="G902" s="1533"/>
      <c r="H902" s="1029">
        <f>+H366</f>
        <v>0</v>
      </c>
      <c r="I902" s="1029">
        <f>+L366</f>
        <v>0</v>
      </c>
      <c r="J902" s="1027">
        <f t="shared" si="194"/>
        <v>0</v>
      </c>
    </row>
    <row r="903" spans="1:13" outlineLevel="1" x14ac:dyDescent="0.2">
      <c r="A903" s="1020"/>
      <c r="B903" s="1020"/>
      <c r="C903" s="924"/>
      <c r="D903" s="1531" t="s">
        <v>2021</v>
      </c>
      <c r="E903" s="1532"/>
      <c r="F903" s="1532"/>
      <c r="G903" s="1533"/>
      <c r="H903" s="1029">
        <f>+H372</f>
        <v>0</v>
      </c>
      <c r="I903" s="1029">
        <f>+L372</f>
        <v>0</v>
      </c>
      <c r="J903" s="1027">
        <f t="shared" si="194"/>
        <v>0</v>
      </c>
    </row>
    <row r="904" spans="1:13" outlineLevel="1" x14ac:dyDescent="0.2">
      <c r="A904" s="1020"/>
      <c r="B904" s="1020"/>
      <c r="C904" s="876">
        <v>59</v>
      </c>
      <c r="D904" s="1534" t="s">
        <v>697</v>
      </c>
      <c r="E904" s="1535"/>
      <c r="F904" s="1535"/>
      <c r="G904" s="1536"/>
      <c r="H904" s="1028">
        <f>SUM(H890:H903)</f>
        <v>0</v>
      </c>
      <c r="I904" s="1028">
        <f t="shared" ref="I904:J904" si="195">SUM(I890:I903)</f>
        <v>0</v>
      </c>
      <c r="J904" s="1028">
        <f t="shared" si="195"/>
        <v>0</v>
      </c>
      <c r="L904" s="1161">
        <f>+H904-H373</f>
        <v>0</v>
      </c>
      <c r="M904" s="1161">
        <f>+I904-L373</f>
        <v>0</v>
      </c>
    </row>
    <row r="905" spans="1:13" outlineLevel="1" x14ac:dyDescent="0.2">
      <c r="A905" s="1020"/>
      <c r="B905" s="1020"/>
      <c r="C905" s="884">
        <v>60</v>
      </c>
      <c r="D905" s="1534" t="s">
        <v>1197</v>
      </c>
      <c r="E905" s="1535"/>
      <c r="F905" s="1535"/>
      <c r="G905" s="1536"/>
      <c r="H905" s="15"/>
      <c r="I905" s="15"/>
      <c r="J905" s="15"/>
    </row>
    <row r="906" spans="1:13" outlineLevel="1" x14ac:dyDescent="0.2">
      <c r="A906" s="1020"/>
      <c r="B906" s="1020"/>
      <c r="C906" s="924">
        <v>61</v>
      </c>
      <c r="D906" s="1531" t="s">
        <v>2022</v>
      </c>
      <c r="E906" s="1532"/>
      <c r="F906" s="1532"/>
      <c r="G906" s="1533"/>
      <c r="H906" s="1029">
        <f>+H376</f>
        <v>0</v>
      </c>
      <c r="I906" s="1029">
        <f>+L376</f>
        <v>0</v>
      </c>
      <c r="J906" s="1027">
        <f t="shared" ref="J906:J910" si="196">+H906-I906</f>
        <v>0</v>
      </c>
    </row>
    <row r="907" spans="1:13" outlineLevel="1" x14ac:dyDescent="0.2">
      <c r="A907" s="1020"/>
      <c r="B907" s="1020"/>
      <c r="C907" s="924">
        <v>62</v>
      </c>
      <c r="D907" s="1531" t="s">
        <v>1716</v>
      </c>
      <c r="E907" s="1532"/>
      <c r="F907" s="1532"/>
      <c r="G907" s="1533"/>
      <c r="H907" s="1029">
        <f>+H392</f>
        <v>0</v>
      </c>
      <c r="I907" s="1029">
        <f>+L392</f>
        <v>0</v>
      </c>
      <c r="J907" s="1027">
        <f t="shared" si="196"/>
        <v>0</v>
      </c>
    </row>
    <row r="908" spans="1:13" outlineLevel="1" x14ac:dyDescent="0.2">
      <c r="A908" s="1020"/>
      <c r="B908" s="1020"/>
      <c r="C908" s="924">
        <v>63</v>
      </c>
      <c r="D908" s="1531" t="s">
        <v>1720</v>
      </c>
      <c r="E908" s="1532"/>
      <c r="F908" s="1532"/>
      <c r="G908" s="1533"/>
      <c r="H908" s="1029">
        <f>+H397</f>
        <v>0</v>
      </c>
      <c r="I908" s="1029">
        <f>+L397</f>
        <v>0</v>
      </c>
      <c r="J908" s="1027">
        <f t="shared" si="196"/>
        <v>0</v>
      </c>
    </row>
    <row r="909" spans="1:13" outlineLevel="1" x14ac:dyDescent="0.2">
      <c r="A909" s="1020"/>
      <c r="B909" s="1020"/>
      <c r="C909" s="924">
        <v>64</v>
      </c>
      <c r="D909" s="1531" t="s">
        <v>1735</v>
      </c>
      <c r="E909" s="1532"/>
      <c r="F909" s="1532"/>
      <c r="G909" s="1533"/>
      <c r="H909" s="1029">
        <f>+H422</f>
        <v>0</v>
      </c>
      <c r="I909" s="1029">
        <f>+L422</f>
        <v>0</v>
      </c>
      <c r="J909" s="1027">
        <f t="shared" si="196"/>
        <v>0</v>
      </c>
    </row>
    <row r="910" spans="1:13" outlineLevel="1" x14ac:dyDescent="0.2">
      <c r="A910" s="1020"/>
      <c r="B910" s="1020"/>
      <c r="C910" s="924">
        <v>65</v>
      </c>
      <c r="D910" s="1531" t="s">
        <v>2023</v>
      </c>
      <c r="E910" s="1532"/>
      <c r="F910" s="1532"/>
      <c r="G910" s="1533"/>
      <c r="H910" s="1029">
        <f>+H435</f>
        <v>0</v>
      </c>
      <c r="I910" s="1029">
        <f>+L435</f>
        <v>0</v>
      </c>
      <c r="J910" s="1027">
        <f t="shared" si="196"/>
        <v>0</v>
      </c>
    </row>
    <row r="911" spans="1:13" outlineLevel="1" x14ac:dyDescent="0.2">
      <c r="A911" s="1020"/>
      <c r="B911" s="1020"/>
      <c r="C911" s="876">
        <v>66</v>
      </c>
      <c r="D911" s="1534" t="s">
        <v>2024</v>
      </c>
      <c r="E911" s="1535"/>
      <c r="F911" s="1535"/>
      <c r="G911" s="1536"/>
      <c r="H911" s="1028">
        <f>SUM(H906:H910)</f>
        <v>0</v>
      </c>
      <c r="I911" s="1028">
        <f t="shared" ref="I911:J911" si="197">SUM(I906:I910)</f>
        <v>0</v>
      </c>
      <c r="J911" s="1028">
        <f t="shared" si="197"/>
        <v>0</v>
      </c>
    </row>
    <row r="912" spans="1:13" outlineLevel="1" x14ac:dyDescent="0.2">
      <c r="A912" s="1020"/>
      <c r="B912" s="1020"/>
      <c r="C912" s="884">
        <v>67</v>
      </c>
      <c r="D912" s="1534" t="s">
        <v>2025</v>
      </c>
      <c r="E912" s="1535"/>
      <c r="F912" s="1535"/>
      <c r="G912" s="1536"/>
    </row>
    <row r="913" spans="1:10" outlineLevel="1" x14ac:dyDescent="0.2">
      <c r="A913" s="1020"/>
      <c r="B913" s="1020"/>
      <c r="C913" s="1140">
        <v>68</v>
      </c>
      <c r="D913" s="1534" t="s">
        <v>2026</v>
      </c>
      <c r="E913" s="1535"/>
      <c r="F913" s="1535"/>
      <c r="G913" s="1536"/>
    </row>
    <row r="914" spans="1:10" outlineLevel="1" x14ac:dyDescent="0.2">
      <c r="A914" s="1020"/>
      <c r="B914" s="1020"/>
      <c r="C914" s="924">
        <v>69</v>
      </c>
      <c r="D914" s="1531" t="s">
        <v>1716</v>
      </c>
      <c r="E914" s="1532"/>
      <c r="F914" s="1532"/>
      <c r="G914" s="1533"/>
      <c r="H914" s="1029">
        <f>+H439</f>
        <v>0</v>
      </c>
      <c r="I914" s="1029">
        <f>+L439</f>
        <v>0</v>
      </c>
      <c r="J914" s="1027">
        <f t="shared" ref="J914:J916" si="198">+H914-I914</f>
        <v>0</v>
      </c>
    </row>
    <row r="915" spans="1:10" outlineLevel="1" x14ac:dyDescent="0.2">
      <c r="A915" s="1020"/>
      <c r="B915" s="1020"/>
      <c r="C915" s="924">
        <v>70</v>
      </c>
      <c r="D915" s="1531" t="s">
        <v>1746</v>
      </c>
      <c r="E915" s="1532"/>
      <c r="F915" s="1532"/>
      <c r="G915" s="1533"/>
      <c r="H915" s="1029">
        <f>+H444</f>
        <v>0</v>
      </c>
      <c r="I915" s="1029">
        <f>+L444</f>
        <v>0</v>
      </c>
      <c r="J915" s="1027">
        <f t="shared" si="198"/>
        <v>0</v>
      </c>
    </row>
    <row r="916" spans="1:10" outlineLevel="1" x14ac:dyDescent="0.2">
      <c r="A916" s="1020"/>
      <c r="B916" s="1020"/>
      <c r="C916" s="924">
        <v>71</v>
      </c>
      <c r="D916" s="1531" t="s">
        <v>1720</v>
      </c>
      <c r="E916" s="1532"/>
      <c r="F916" s="1532"/>
      <c r="G916" s="1533"/>
      <c r="H916" s="1029">
        <f>+H465</f>
        <v>0</v>
      </c>
      <c r="I916" s="1029">
        <f>+L465</f>
        <v>0</v>
      </c>
      <c r="J916" s="1027">
        <f t="shared" si="198"/>
        <v>0</v>
      </c>
    </row>
    <row r="917" spans="1:10" outlineLevel="1" x14ac:dyDescent="0.2">
      <c r="A917" s="1020"/>
      <c r="B917" s="1020"/>
      <c r="C917" s="884">
        <v>72</v>
      </c>
      <c r="D917" s="1534" t="s">
        <v>717</v>
      </c>
      <c r="E917" s="1535"/>
      <c r="F917" s="1535"/>
      <c r="G917" s="1536"/>
      <c r="H917" s="1165">
        <f>SUM(H914:H916)</f>
        <v>0</v>
      </c>
      <c r="I917" s="1165">
        <f t="shared" ref="I917:J917" si="199">SUM(I914:I916)</f>
        <v>0</v>
      </c>
      <c r="J917" s="1165">
        <f t="shared" si="199"/>
        <v>0</v>
      </c>
    </row>
    <row r="918" spans="1:10" outlineLevel="1" x14ac:dyDescent="0.2">
      <c r="A918" s="1020"/>
      <c r="B918" s="1020"/>
      <c r="C918" s="1140">
        <v>73</v>
      </c>
      <c r="D918" s="1534" t="s">
        <v>2027</v>
      </c>
      <c r="E918" s="1535"/>
      <c r="F918" s="1535"/>
      <c r="G918" s="1536"/>
      <c r="H918" s="15"/>
      <c r="I918" s="15"/>
      <c r="J918" s="15"/>
    </row>
    <row r="919" spans="1:10" outlineLevel="1" x14ac:dyDescent="0.2">
      <c r="A919" s="1020"/>
      <c r="B919" s="1020"/>
      <c r="C919" s="924">
        <v>74</v>
      </c>
      <c r="D919" s="1531" t="s">
        <v>1716</v>
      </c>
      <c r="E919" s="1532"/>
      <c r="F919" s="1532"/>
      <c r="G919" s="1533"/>
      <c r="H919" s="1029">
        <v>0</v>
      </c>
      <c r="I919" s="1029">
        <v>0</v>
      </c>
      <c r="J919" s="1027">
        <f t="shared" ref="J919:J930" si="200">+H919-I919</f>
        <v>0</v>
      </c>
    </row>
    <row r="920" spans="1:10" outlineLevel="1" x14ac:dyDescent="0.2">
      <c r="A920" s="1020"/>
      <c r="B920" s="1020"/>
      <c r="C920" s="924">
        <v>75</v>
      </c>
      <c r="D920" s="1531" t="s">
        <v>1756</v>
      </c>
      <c r="E920" s="1532"/>
      <c r="F920" s="1532"/>
      <c r="G920" s="1533"/>
      <c r="H920" s="1029">
        <v>0</v>
      </c>
      <c r="I920" s="1029"/>
      <c r="J920" s="1027">
        <f t="shared" si="200"/>
        <v>0</v>
      </c>
    </row>
    <row r="921" spans="1:10" outlineLevel="1" x14ac:dyDescent="0.2">
      <c r="A921" s="1020"/>
      <c r="B921" s="1020"/>
      <c r="C921" s="924">
        <v>76</v>
      </c>
      <c r="D921" s="1531" t="s">
        <v>1720</v>
      </c>
      <c r="E921" s="1532"/>
      <c r="F921" s="1532"/>
      <c r="G921" s="1533"/>
      <c r="H921" s="1029">
        <v>0</v>
      </c>
      <c r="I921" s="1029">
        <v>0</v>
      </c>
      <c r="J921" s="1027">
        <f t="shared" si="200"/>
        <v>0</v>
      </c>
    </row>
    <row r="922" spans="1:10" outlineLevel="1" x14ac:dyDescent="0.2">
      <c r="A922" s="1020"/>
      <c r="B922" s="1020"/>
      <c r="C922" s="884">
        <v>77</v>
      </c>
      <c r="D922" s="1534" t="s">
        <v>2028</v>
      </c>
      <c r="E922" s="1535"/>
      <c r="F922" s="1535"/>
      <c r="G922" s="1536"/>
      <c r="H922" s="1031">
        <v>0</v>
      </c>
      <c r="I922" s="1031"/>
      <c r="J922" s="1031"/>
    </row>
    <row r="923" spans="1:10" outlineLevel="1" x14ac:dyDescent="0.2">
      <c r="A923" s="1020"/>
      <c r="B923" s="1020"/>
      <c r="C923" s="924">
        <v>78</v>
      </c>
      <c r="D923" s="1531" t="s">
        <v>2029</v>
      </c>
      <c r="E923" s="1532"/>
      <c r="F923" s="1532"/>
      <c r="G923" s="1533"/>
      <c r="H923" s="1029">
        <f>+H545</f>
        <v>0</v>
      </c>
      <c r="I923" s="1029">
        <f>+L545</f>
        <v>0</v>
      </c>
      <c r="J923" s="1027">
        <f t="shared" si="200"/>
        <v>0</v>
      </c>
    </row>
    <row r="924" spans="1:10" outlineLevel="1" x14ac:dyDescent="0.2">
      <c r="A924" s="1020"/>
      <c r="B924" s="1020"/>
      <c r="C924" s="924">
        <v>79</v>
      </c>
      <c r="D924" s="1531" t="s">
        <v>2030</v>
      </c>
      <c r="E924" s="1532"/>
      <c r="F924" s="1532"/>
      <c r="G924" s="1533"/>
      <c r="H924" s="1029">
        <f>+H557</f>
        <v>0</v>
      </c>
      <c r="I924" s="1029">
        <f>+L557</f>
        <v>0</v>
      </c>
      <c r="J924" s="1027">
        <f t="shared" si="200"/>
        <v>0</v>
      </c>
    </row>
    <row r="925" spans="1:10" outlineLevel="1" x14ac:dyDescent="0.2">
      <c r="A925" s="1020"/>
      <c r="B925" s="1020"/>
      <c r="C925" s="924">
        <v>80</v>
      </c>
      <c r="D925" s="1531" t="s">
        <v>1774</v>
      </c>
      <c r="E925" s="1532"/>
      <c r="F925" s="1532"/>
      <c r="G925" s="1533"/>
      <c r="H925" s="1029">
        <f>+H560</f>
        <v>0</v>
      </c>
      <c r="I925" s="1029">
        <f>+L560</f>
        <v>0</v>
      </c>
      <c r="J925" s="1027">
        <f t="shared" si="200"/>
        <v>0</v>
      </c>
    </row>
    <row r="926" spans="1:10" outlineLevel="1" x14ac:dyDescent="0.2">
      <c r="A926" s="1020"/>
      <c r="B926" s="1020"/>
      <c r="C926" s="924">
        <v>81</v>
      </c>
      <c r="D926" s="1531" t="s">
        <v>1776</v>
      </c>
      <c r="E926" s="1532"/>
      <c r="F926" s="1532"/>
      <c r="G926" s="1533"/>
      <c r="H926" s="1029">
        <f>+H566</f>
        <v>0</v>
      </c>
      <c r="I926" s="1029">
        <f>+L566</f>
        <v>0</v>
      </c>
      <c r="J926" s="1027">
        <f t="shared" si="200"/>
        <v>0</v>
      </c>
    </row>
    <row r="927" spans="1:10" outlineLevel="1" x14ac:dyDescent="0.2">
      <c r="A927" s="1020"/>
      <c r="B927" s="1020"/>
      <c r="C927" s="924">
        <v>82</v>
      </c>
      <c r="D927" s="1531" t="s">
        <v>1780</v>
      </c>
      <c r="E927" s="1532"/>
      <c r="F927" s="1532"/>
      <c r="G927" s="1533"/>
      <c r="H927" s="1029">
        <f>+H576</f>
        <v>0</v>
      </c>
      <c r="I927" s="1029">
        <f>+L576</f>
        <v>0</v>
      </c>
      <c r="J927" s="1027">
        <f t="shared" si="200"/>
        <v>0</v>
      </c>
    </row>
    <row r="928" spans="1:10" outlineLevel="1" x14ac:dyDescent="0.2">
      <c r="A928" s="1020"/>
      <c r="B928" s="1020"/>
      <c r="C928" s="924">
        <v>83</v>
      </c>
      <c r="D928" s="1531" t="s">
        <v>150</v>
      </c>
      <c r="E928" s="1532"/>
      <c r="F928" s="1532"/>
      <c r="G928" s="1533"/>
      <c r="H928" s="1029">
        <f>+H584</f>
        <v>0</v>
      </c>
      <c r="I928" s="1029">
        <f>+L584</f>
        <v>0</v>
      </c>
      <c r="J928" s="1027">
        <f t="shared" si="200"/>
        <v>0</v>
      </c>
    </row>
    <row r="929" spans="1:13" outlineLevel="1" x14ac:dyDescent="0.2">
      <c r="A929" s="1020"/>
      <c r="B929" s="1020"/>
      <c r="C929" s="924">
        <v>84</v>
      </c>
      <c r="D929" s="1531" t="s">
        <v>1783</v>
      </c>
      <c r="E929" s="1532"/>
      <c r="F929" s="1532"/>
      <c r="G929" s="1533"/>
      <c r="H929" s="1029">
        <f>+H590</f>
        <v>0</v>
      </c>
      <c r="I929" s="1029">
        <f>+L590</f>
        <v>0</v>
      </c>
      <c r="J929" s="1027">
        <f t="shared" si="200"/>
        <v>0</v>
      </c>
    </row>
    <row r="930" spans="1:13" outlineLevel="1" x14ac:dyDescent="0.2">
      <c r="A930" s="1020"/>
      <c r="B930" s="1020"/>
      <c r="C930" s="924">
        <v>85</v>
      </c>
      <c r="D930" s="1531" t="s">
        <v>2031</v>
      </c>
      <c r="E930" s="1532"/>
      <c r="F930" s="1532"/>
      <c r="G930" s="1533"/>
      <c r="H930" s="1029">
        <f>+H591</f>
        <v>0</v>
      </c>
      <c r="I930" s="1029">
        <f>+L591</f>
        <v>0</v>
      </c>
      <c r="J930" s="1027">
        <f t="shared" si="200"/>
        <v>0</v>
      </c>
    </row>
    <row r="931" spans="1:13" outlineLevel="1" x14ac:dyDescent="0.2">
      <c r="A931" s="1020"/>
      <c r="B931" s="1020"/>
      <c r="C931" s="884">
        <v>86</v>
      </c>
      <c r="D931" s="1534" t="s">
        <v>2032</v>
      </c>
      <c r="E931" s="1535"/>
      <c r="F931" s="1535"/>
      <c r="G931" s="1536"/>
      <c r="H931" s="1028">
        <f>SUM(H923:H930)</f>
        <v>0</v>
      </c>
      <c r="I931" s="1028">
        <f t="shared" ref="I931:J931" si="201">SUM(I923:I930)</f>
        <v>0</v>
      </c>
      <c r="J931" s="1028">
        <f t="shared" si="201"/>
        <v>0</v>
      </c>
    </row>
    <row r="932" spans="1:13" outlineLevel="1" x14ac:dyDescent="0.2">
      <c r="A932" s="1020"/>
      <c r="B932" s="1020"/>
      <c r="C932" s="1140">
        <v>87</v>
      </c>
      <c r="D932" s="1534" t="s">
        <v>2033</v>
      </c>
      <c r="E932" s="1535"/>
      <c r="F932" s="1535"/>
      <c r="G932" s="1536"/>
      <c r="H932" s="1166">
        <f>+H904-H911-H917-H922-H931</f>
        <v>0</v>
      </c>
      <c r="I932" s="1166">
        <f t="shared" ref="I932:J932" si="202">+I904-I911-I917-I922-I931</f>
        <v>0</v>
      </c>
      <c r="J932" s="1166">
        <f t="shared" si="202"/>
        <v>0</v>
      </c>
    </row>
    <row r="933" spans="1:13" outlineLevel="1" x14ac:dyDescent="0.2">
      <c r="A933" s="1020"/>
      <c r="B933" s="1020"/>
      <c r="C933" s="1032"/>
      <c r="D933" s="1032"/>
      <c r="E933" s="1032"/>
      <c r="F933" s="1032"/>
      <c r="G933" s="1032"/>
      <c r="H933" s="1032"/>
      <c r="I933" s="1032"/>
      <c r="J933" s="1032"/>
    </row>
    <row r="934" spans="1:13" outlineLevel="1" x14ac:dyDescent="0.2">
      <c r="A934" s="1020"/>
      <c r="B934" s="1020"/>
      <c r="C934" s="833"/>
      <c r="D934" s="833"/>
      <c r="E934" s="833"/>
      <c r="F934" s="833"/>
      <c r="G934" s="833"/>
      <c r="H934" s="833"/>
      <c r="I934" s="1033"/>
      <c r="J934" s="833"/>
    </row>
    <row r="935" spans="1:13" outlineLevel="1" x14ac:dyDescent="0.2">
      <c r="A935" s="1020"/>
      <c r="B935" s="1020"/>
      <c r="C935" s="833"/>
      <c r="D935" s="833"/>
      <c r="E935" s="833"/>
      <c r="F935" s="833"/>
      <c r="G935" s="833"/>
      <c r="H935" s="1161">
        <f>+H932-H593</f>
        <v>0</v>
      </c>
      <c r="I935" s="1161">
        <f>+I932-L593</f>
        <v>0</v>
      </c>
    </row>
    <row r="936" spans="1:13" x14ac:dyDescent="0.2">
      <c r="A936" s="1020"/>
      <c r="B936" s="1020"/>
      <c r="C936" s="833"/>
      <c r="D936" s="833"/>
      <c r="E936" s="833"/>
      <c r="F936" s="833"/>
      <c r="G936" s="833"/>
      <c r="H936" s="833"/>
      <c r="I936" s="1033"/>
      <c r="J936" s="833"/>
    </row>
    <row r="937" spans="1:13" x14ac:dyDescent="0.2">
      <c r="A937" s="1020"/>
      <c r="B937" s="1020"/>
      <c r="C937" s="833"/>
      <c r="D937" s="833"/>
      <c r="E937" s="833"/>
      <c r="F937" s="833"/>
      <c r="G937" s="833"/>
      <c r="H937" s="833"/>
      <c r="I937" s="1033"/>
      <c r="J937" s="833"/>
    </row>
    <row r="938" spans="1:13" x14ac:dyDescent="0.2">
      <c r="A938" s="833"/>
      <c r="B938" s="833"/>
      <c r="C938" s="833"/>
      <c r="D938" s="833"/>
      <c r="E938" s="833"/>
      <c r="F938" s="833"/>
      <c r="G938" s="833"/>
      <c r="H938" s="833"/>
      <c r="I938" s="1033"/>
      <c r="J938" s="833"/>
    </row>
    <row r="939" spans="1:13" x14ac:dyDescent="0.2">
      <c r="A939" s="833"/>
      <c r="B939" s="833"/>
      <c r="C939" s="833"/>
      <c r="D939" s="833"/>
      <c r="E939" s="833"/>
      <c r="F939" s="833"/>
      <c r="G939" s="833"/>
      <c r="H939" s="833"/>
      <c r="I939" s="833"/>
      <c r="J939" s="833"/>
    </row>
    <row r="940" spans="1:13" s="192" customFormat="1" x14ac:dyDescent="0.2">
      <c r="A940" s="1655"/>
      <c r="B940" s="1655"/>
      <c r="C940" s="1656" t="s">
        <v>273</v>
      </c>
      <c r="D940" s="1655"/>
      <c r="E940" s="1655"/>
      <c r="F940" s="1655"/>
      <c r="G940" s="1655"/>
      <c r="H940" s="1655"/>
      <c r="I940" s="1655"/>
      <c r="K940" s="1655"/>
    </row>
    <row r="941" spans="1:13" outlineLevel="1" x14ac:dyDescent="0.2">
      <c r="A941" s="1539" t="s">
        <v>2034</v>
      </c>
      <c r="B941" s="1538" t="s">
        <v>2035</v>
      </c>
      <c r="C941" s="1538"/>
      <c r="F941" s="1538" t="s">
        <v>2036</v>
      </c>
      <c r="G941" s="1538" t="s">
        <v>2037</v>
      </c>
      <c r="H941" s="1538" t="s">
        <v>2038</v>
      </c>
      <c r="I941" s="1541" t="s">
        <v>2091</v>
      </c>
      <c r="J941" s="1538" t="s">
        <v>2039</v>
      </c>
      <c r="K941" s="1538" t="s">
        <v>2040</v>
      </c>
      <c r="L941" s="1538" t="s">
        <v>2041</v>
      </c>
      <c r="M941" s="1538" t="s">
        <v>2042</v>
      </c>
    </row>
    <row r="942" spans="1:13" outlineLevel="1" x14ac:dyDescent="0.2">
      <c r="A942" s="1540"/>
      <c r="B942" s="1538"/>
      <c r="C942" s="1538"/>
      <c r="F942" s="1538"/>
      <c r="G942" s="1538"/>
      <c r="H942" s="1538"/>
      <c r="I942" s="1542"/>
      <c r="J942" s="1538"/>
      <c r="K942" s="1538"/>
      <c r="L942" s="1538"/>
      <c r="M942" s="1538"/>
    </row>
    <row r="943" spans="1:13" ht="23.25" customHeight="1" outlineLevel="1" x14ac:dyDescent="0.2">
      <c r="A943" s="1034">
        <v>12</v>
      </c>
      <c r="C943" s="1534" t="s">
        <v>2043</v>
      </c>
      <c r="D943" s="1535"/>
      <c r="E943" s="1535"/>
    </row>
    <row r="944" spans="1:13" ht="12.75" customHeight="1" outlineLevel="1" x14ac:dyDescent="0.2">
      <c r="A944" s="1034">
        <v>13</v>
      </c>
      <c r="B944" s="1035"/>
      <c r="C944" s="1531" t="s">
        <v>1149</v>
      </c>
      <c r="D944" s="1532"/>
      <c r="E944" s="1533"/>
      <c r="F944" s="1036">
        <f>+IF((J856&lt;0),H856,0)</f>
        <v>0</v>
      </c>
      <c r="G944" s="1036">
        <f>+IF((J856&lt;0),I856,0)</f>
        <v>0</v>
      </c>
      <c r="H944" s="1036">
        <f>+G944-F944</f>
        <v>0</v>
      </c>
      <c r="I944" s="872"/>
      <c r="J944" s="1037">
        <f>+'Imp diferidos'!F164</f>
        <v>0</v>
      </c>
      <c r="K944" s="872"/>
      <c r="L944" s="1038">
        <v>0</v>
      </c>
      <c r="M944" s="1039">
        <f t="shared" ref="M944:M982" si="203">+IF((J944&gt;0),(J944/H944),0)</f>
        <v>0</v>
      </c>
    </row>
    <row r="945" spans="1:13" outlineLevel="1" x14ac:dyDescent="0.2">
      <c r="A945" s="1034">
        <v>14</v>
      </c>
      <c r="B945" s="1537" t="s">
        <v>2044</v>
      </c>
      <c r="C945" s="1531" t="s">
        <v>2045</v>
      </c>
      <c r="D945" s="1532"/>
      <c r="E945" s="1533"/>
      <c r="F945" s="1036">
        <f>+IF((J857&lt;0),H857,0)</f>
        <v>0</v>
      </c>
      <c r="G945" s="1036">
        <f>+IF((J857&lt;0),I857,0)</f>
        <v>0</v>
      </c>
      <c r="H945" s="1036">
        <f t="shared" ref="H945:H952" si="204">+G945-F945</f>
        <v>0</v>
      </c>
      <c r="I945" s="872"/>
      <c r="J945" s="1037">
        <v>0</v>
      </c>
      <c r="K945" s="872"/>
      <c r="L945" s="1038">
        <v>0</v>
      </c>
      <c r="M945" s="1039">
        <f t="shared" si="203"/>
        <v>0</v>
      </c>
    </row>
    <row r="946" spans="1:13" outlineLevel="1" x14ac:dyDescent="0.2">
      <c r="A946" s="1034">
        <v>15</v>
      </c>
      <c r="B946" s="1537"/>
      <c r="C946" s="1531" t="s">
        <v>946</v>
      </c>
      <c r="D946" s="1532"/>
      <c r="E946" s="1533"/>
      <c r="F946" s="1036">
        <f>+IF((J858&lt;0),H858,0)</f>
        <v>0</v>
      </c>
      <c r="G946" s="1036">
        <f>+IF((J858&lt;0),I858,0)</f>
        <v>0</v>
      </c>
      <c r="H946" s="1036">
        <f t="shared" si="204"/>
        <v>0</v>
      </c>
      <c r="I946" s="872"/>
      <c r="J946" s="1037">
        <f>+'Imp diferidos'!F174+'Imp diferidos'!F181</f>
        <v>0</v>
      </c>
      <c r="K946" s="872"/>
      <c r="L946" s="1038">
        <v>0</v>
      </c>
      <c r="M946" s="1039">
        <f t="shared" si="203"/>
        <v>0</v>
      </c>
    </row>
    <row r="947" spans="1:13" outlineLevel="1" x14ac:dyDescent="0.2">
      <c r="A947" s="1034">
        <v>16</v>
      </c>
      <c r="B947" s="1537"/>
      <c r="C947" s="1531" t="s">
        <v>143</v>
      </c>
      <c r="D947" s="1532"/>
      <c r="E947" s="1533"/>
      <c r="F947" s="1036">
        <f>+IF((J859&lt;0),H859,0)</f>
        <v>0</v>
      </c>
      <c r="G947" s="1036">
        <f>+IF((J859&lt;0),I859,0)</f>
        <v>0</v>
      </c>
      <c r="H947" s="1036">
        <f t="shared" si="204"/>
        <v>0</v>
      </c>
      <c r="I947" s="872"/>
      <c r="J947" s="1037">
        <f>+'Imp diferidos'!F186</f>
        <v>0</v>
      </c>
      <c r="K947" s="872"/>
      <c r="L947" s="1038">
        <v>0</v>
      </c>
      <c r="M947" s="1039">
        <f t="shared" si="203"/>
        <v>0</v>
      </c>
    </row>
    <row r="948" spans="1:13" outlineLevel="1" x14ac:dyDescent="0.2">
      <c r="A948" s="1034">
        <v>17</v>
      </c>
      <c r="B948" s="1537"/>
      <c r="C948" s="1531" t="s">
        <v>431</v>
      </c>
      <c r="D948" s="1532"/>
      <c r="E948" s="1533"/>
      <c r="F948" s="1036">
        <f>+IF((J863&lt;0),H863,0)</f>
        <v>0</v>
      </c>
      <c r="G948" s="1036">
        <f>+IF((J863&lt;0),I863,0)</f>
        <v>0</v>
      </c>
      <c r="H948" s="1036">
        <f t="shared" si="204"/>
        <v>0</v>
      </c>
      <c r="I948" s="872">
        <v>0</v>
      </c>
      <c r="J948" s="1037">
        <v>0</v>
      </c>
      <c r="K948" s="872"/>
      <c r="L948" s="1038">
        <v>0</v>
      </c>
      <c r="M948" s="1039">
        <f t="shared" si="203"/>
        <v>0</v>
      </c>
    </row>
    <row r="949" spans="1:13" outlineLevel="1" x14ac:dyDescent="0.2">
      <c r="A949" s="1034">
        <v>18</v>
      </c>
      <c r="B949" s="1537"/>
      <c r="C949" s="1531" t="s">
        <v>813</v>
      </c>
      <c r="D949" s="1532"/>
      <c r="E949" s="1533"/>
      <c r="F949" s="1036">
        <f>+IF((J864&lt;0),H864,0)</f>
        <v>0</v>
      </c>
      <c r="G949" s="1036">
        <f>+IF((J864&lt;0),I864,0)</f>
        <v>0</v>
      </c>
      <c r="H949" s="1036">
        <f t="shared" si="204"/>
        <v>0</v>
      </c>
      <c r="I949" s="872"/>
      <c r="J949" s="1037">
        <v>0</v>
      </c>
      <c r="K949" s="872"/>
      <c r="L949" s="1038">
        <v>0</v>
      </c>
      <c r="M949" s="1039">
        <f t="shared" si="203"/>
        <v>0</v>
      </c>
    </row>
    <row r="950" spans="1:13" outlineLevel="1" x14ac:dyDescent="0.2">
      <c r="A950" s="1034">
        <v>19</v>
      </c>
      <c r="B950" s="1537"/>
      <c r="C950" s="1531" t="s">
        <v>59</v>
      </c>
      <c r="D950" s="1532"/>
      <c r="E950" s="1533"/>
      <c r="F950" s="1036">
        <f>+IF((J865&lt;0),H865,0)</f>
        <v>0</v>
      </c>
      <c r="G950" s="1036">
        <f>+IF((J865&lt;0),I865,0)</f>
        <v>0</v>
      </c>
      <c r="H950" s="1036">
        <f t="shared" si="204"/>
        <v>0</v>
      </c>
      <c r="I950" s="872">
        <v>0</v>
      </c>
      <c r="J950" s="1037">
        <v>0</v>
      </c>
      <c r="K950" s="872"/>
      <c r="L950" s="1038">
        <v>0</v>
      </c>
      <c r="M950" s="1039">
        <f t="shared" si="203"/>
        <v>0</v>
      </c>
    </row>
    <row r="951" spans="1:13" outlineLevel="1" x14ac:dyDescent="0.2">
      <c r="A951" s="1034">
        <v>20</v>
      </c>
      <c r="B951" s="1537"/>
      <c r="C951" s="1531" t="s">
        <v>72</v>
      </c>
      <c r="D951" s="1532"/>
      <c r="E951" s="1533"/>
      <c r="F951" s="1036">
        <f>+IF((J867&lt;0),H867,0)</f>
        <v>0</v>
      </c>
      <c r="G951" s="1036">
        <f>+IF((J867&lt;0),I867,0)</f>
        <v>0</v>
      </c>
      <c r="H951" s="1036">
        <f t="shared" si="204"/>
        <v>0</v>
      </c>
      <c r="I951" s="872"/>
      <c r="J951" s="1037">
        <v>0</v>
      </c>
      <c r="K951" s="872"/>
      <c r="L951" s="1038">
        <v>0</v>
      </c>
      <c r="M951" s="1039">
        <f t="shared" si="203"/>
        <v>0</v>
      </c>
    </row>
    <row r="952" spans="1:13" outlineLevel="1" x14ac:dyDescent="0.2">
      <c r="A952" s="1034">
        <v>21</v>
      </c>
      <c r="B952" s="1537"/>
      <c r="C952" s="1531" t="s">
        <v>1668</v>
      </c>
      <c r="D952" s="1532"/>
      <c r="E952" s="1533"/>
      <c r="F952" s="1036">
        <f>+IF((J868&lt;0),H868,0)</f>
        <v>0</v>
      </c>
      <c r="G952" s="1036">
        <f>+IF((J868&lt;0),I868,0)</f>
        <v>0</v>
      </c>
      <c r="H952" s="1036">
        <f t="shared" si="204"/>
        <v>0</v>
      </c>
      <c r="I952" s="872"/>
      <c r="J952" s="1037">
        <v>0</v>
      </c>
      <c r="K952" s="872"/>
      <c r="L952" s="1038">
        <v>0</v>
      </c>
      <c r="M952" s="1039">
        <f t="shared" si="203"/>
        <v>0</v>
      </c>
    </row>
    <row r="953" spans="1:13" outlineLevel="1" x14ac:dyDescent="0.2">
      <c r="A953" s="1034">
        <v>22</v>
      </c>
      <c r="B953" s="1537"/>
      <c r="C953" s="1531" t="s">
        <v>2046</v>
      </c>
      <c r="D953" s="1532"/>
      <c r="E953" s="1533"/>
      <c r="F953" s="1036">
        <f>+IF((J871&gt;0),H871,0)</f>
        <v>0</v>
      </c>
      <c r="G953" s="1036">
        <f>+IF((J871&gt;0),I871,0)</f>
        <v>0</v>
      </c>
      <c r="H953" s="1036">
        <f t="shared" ref="H953:H961" si="205">+F953-G953</f>
        <v>0</v>
      </c>
      <c r="I953" s="872"/>
      <c r="J953" s="1037">
        <v>0</v>
      </c>
      <c r="K953" s="872"/>
      <c r="L953" s="1038">
        <v>0</v>
      </c>
      <c r="M953" s="1039">
        <f t="shared" si="203"/>
        <v>0</v>
      </c>
    </row>
    <row r="954" spans="1:13" outlineLevel="1" x14ac:dyDescent="0.2">
      <c r="A954" s="1034">
        <v>23</v>
      </c>
      <c r="B954" s="1537"/>
      <c r="C954" s="1531" t="s">
        <v>2047</v>
      </c>
      <c r="D954" s="1532"/>
      <c r="E954" s="1533"/>
      <c r="F954" s="1036">
        <f>+IF((J874&gt;0),H874,0)</f>
        <v>0</v>
      </c>
      <c r="G954" s="1036">
        <f>+IF((J874&gt;0),I874,0)</f>
        <v>0</v>
      </c>
      <c r="H954" s="1036">
        <f t="shared" si="205"/>
        <v>0</v>
      </c>
      <c r="I954" s="872"/>
      <c r="J954" s="1037">
        <v>0</v>
      </c>
      <c r="K954" s="872"/>
      <c r="L954" s="1038">
        <v>0</v>
      </c>
      <c r="M954" s="1039">
        <f t="shared" si="203"/>
        <v>0</v>
      </c>
    </row>
    <row r="955" spans="1:13" outlineLevel="1" x14ac:dyDescent="0.2">
      <c r="A955" s="1034">
        <v>24</v>
      </c>
      <c r="B955" s="1537"/>
      <c r="C955" s="1531" t="s">
        <v>2048</v>
      </c>
      <c r="D955" s="1532"/>
      <c r="E955" s="1533"/>
      <c r="F955" s="1036">
        <f>+IF((J876&gt;0),H876,0)</f>
        <v>0</v>
      </c>
      <c r="G955" s="1036">
        <f>+IF((J876&gt;0),I876,0)</f>
        <v>0</v>
      </c>
      <c r="H955" s="1036">
        <f t="shared" si="205"/>
        <v>0</v>
      </c>
      <c r="I955" s="872"/>
      <c r="J955" s="1037">
        <v>0</v>
      </c>
      <c r="K955" s="872"/>
      <c r="L955" s="1038">
        <v>0</v>
      </c>
      <c r="M955" s="1039">
        <f t="shared" si="203"/>
        <v>0</v>
      </c>
    </row>
    <row r="956" spans="1:13" outlineLevel="1" x14ac:dyDescent="0.2">
      <c r="A956" s="1034">
        <v>25</v>
      </c>
      <c r="B956" s="1537"/>
      <c r="C956" s="1531" t="s">
        <v>1550</v>
      </c>
      <c r="D956" s="1532"/>
      <c r="E956" s="1533"/>
      <c r="F956" s="1036">
        <f>+IF((J877&gt;0),H877,0)</f>
        <v>0</v>
      </c>
      <c r="G956" s="1036">
        <f>+IF((J877&gt;0),I877,0)</f>
        <v>0</v>
      </c>
      <c r="H956" s="1036">
        <f t="shared" si="205"/>
        <v>0</v>
      </c>
      <c r="I956" s="872"/>
      <c r="J956" s="1037">
        <f>+'Imp diferidos'!F222</f>
        <v>0</v>
      </c>
      <c r="K956" s="872"/>
      <c r="L956" s="1038">
        <v>0</v>
      </c>
      <c r="M956" s="1039">
        <f t="shared" si="203"/>
        <v>0</v>
      </c>
    </row>
    <row r="957" spans="1:13" outlineLevel="1" x14ac:dyDescent="0.2">
      <c r="A957" s="1034">
        <v>26</v>
      </c>
      <c r="B957" s="1537"/>
      <c r="C957" s="1531" t="s">
        <v>2049</v>
      </c>
      <c r="D957" s="1532"/>
      <c r="E957" s="1533"/>
      <c r="F957" s="1036">
        <f>+IF((J879&gt;0),H879,0)</f>
        <v>0</v>
      </c>
      <c r="G957" s="1036">
        <f>+IF((J879&gt;0),I879,0)</f>
        <v>0</v>
      </c>
      <c r="H957" s="1036">
        <f t="shared" si="205"/>
        <v>0</v>
      </c>
      <c r="I957" s="872"/>
      <c r="J957" s="1037">
        <v>0</v>
      </c>
      <c r="K957" s="872"/>
      <c r="L957" s="1038">
        <v>0</v>
      </c>
      <c r="M957" s="1039">
        <f t="shared" si="203"/>
        <v>0</v>
      </c>
    </row>
    <row r="958" spans="1:13" outlineLevel="1" x14ac:dyDescent="0.2">
      <c r="A958" s="1034">
        <v>27</v>
      </c>
      <c r="B958" s="1537"/>
      <c r="C958" s="1531" t="s">
        <v>2050</v>
      </c>
      <c r="D958" s="1532"/>
      <c r="E958" s="1533"/>
      <c r="F958" s="1036">
        <f>+IF((J873&gt;0),H873,0)</f>
        <v>0</v>
      </c>
      <c r="G958" s="1036">
        <f>+IF((J873&gt;0),I873,0)</f>
        <v>0</v>
      </c>
      <c r="H958" s="1036">
        <f t="shared" si="205"/>
        <v>0</v>
      </c>
      <c r="I958" s="872"/>
      <c r="J958" s="1037">
        <f>+'Imp diferidos'!F223</f>
        <v>0</v>
      </c>
      <c r="K958" s="872"/>
      <c r="L958" s="1038">
        <v>0</v>
      </c>
      <c r="M958" s="1039">
        <f t="shared" si="203"/>
        <v>0</v>
      </c>
    </row>
    <row r="959" spans="1:13" outlineLevel="1" x14ac:dyDescent="0.2">
      <c r="A959" s="1034">
        <v>28</v>
      </c>
      <c r="B959" s="1537"/>
      <c r="C959" s="1531" t="s">
        <v>2051</v>
      </c>
      <c r="D959" s="1532"/>
      <c r="E959" s="1533"/>
      <c r="F959" s="1036"/>
      <c r="G959" s="873"/>
      <c r="H959" s="1036">
        <f t="shared" si="205"/>
        <v>0</v>
      </c>
      <c r="I959" s="872"/>
      <c r="J959" s="1037"/>
      <c r="K959" s="872"/>
      <c r="L959" s="1038"/>
      <c r="M959" s="1039">
        <f t="shared" si="203"/>
        <v>0</v>
      </c>
    </row>
    <row r="960" spans="1:13" outlineLevel="1" x14ac:dyDescent="0.2">
      <c r="A960" s="1034">
        <v>29</v>
      </c>
      <c r="B960" s="1537"/>
      <c r="C960" s="1531" t="s">
        <v>1517</v>
      </c>
      <c r="D960" s="1532"/>
      <c r="E960" s="1533"/>
      <c r="F960" s="1036"/>
      <c r="G960" s="1036">
        <v>0</v>
      </c>
      <c r="H960" s="1036">
        <f t="shared" si="205"/>
        <v>0</v>
      </c>
      <c r="I960" s="872"/>
      <c r="J960" s="1037">
        <v>0</v>
      </c>
      <c r="K960" s="872"/>
      <c r="L960" s="1038">
        <v>0</v>
      </c>
      <c r="M960" s="1039">
        <f t="shared" si="203"/>
        <v>0</v>
      </c>
    </row>
    <row r="961" spans="1:13" outlineLevel="1" x14ac:dyDescent="0.2">
      <c r="A961" s="1034">
        <v>30</v>
      </c>
      <c r="B961" s="1035"/>
      <c r="C961" s="1531" t="s">
        <v>1160</v>
      </c>
      <c r="D961" s="1532"/>
      <c r="E961" s="1533"/>
      <c r="F961" s="1036"/>
      <c r="G961" s="1036">
        <v>0</v>
      </c>
      <c r="H961" s="1036">
        <f t="shared" si="205"/>
        <v>0</v>
      </c>
      <c r="I961" s="872"/>
      <c r="J961" s="1037">
        <v>0</v>
      </c>
      <c r="K961" s="872"/>
      <c r="L961" s="1038">
        <v>0</v>
      </c>
      <c r="M961" s="1039">
        <f t="shared" si="203"/>
        <v>0</v>
      </c>
    </row>
    <row r="962" spans="1:13" outlineLevel="1" x14ac:dyDescent="0.2">
      <c r="A962" s="1034">
        <v>31</v>
      </c>
      <c r="B962" s="1040"/>
      <c r="C962" s="1534" t="s">
        <v>990</v>
      </c>
      <c r="D962" s="1535"/>
      <c r="E962" s="1536"/>
      <c r="F962" s="1041">
        <f>SUM(F944:F961)</f>
        <v>0</v>
      </c>
      <c r="G962" s="1041">
        <f t="shared" ref="G962:L962" si="206">SUM(G944:G961)</f>
        <v>0</v>
      </c>
      <c r="H962" s="1041">
        <f t="shared" si="206"/>
        <v>0</v>
      </c>
      <c r="I962" s="1041">
        <f t="shared" si="206"/>
        <v>0</v>
      </c>
      <c r="J962" s="1041">
        <f t="shared" si="206"/>
        <v>0</v>
      </c>
      <c r="K962" s="1041">
        <f t="shared" si="206"/>
        <v>0</v>
      </c>
      <c r="L962" s="1041">
        <f t="shared" si="206"/>
        <v>0</v>
      </c>
      <c r="M962" s="1039">
        <f t="shared" si="203"/>
        <v>0</v>
      </c>
    </row>
    <row r="963" spans="1:13" outlineLevel="1" x14ac:dyDescent="0.2">
      <c r="A963" s="1034">
        <v>32</v>
      </c>
      <c r="C963" s="1534" t="s">
        <v>2052</v>
      </c>
      <c r="D963" s="1535"/>
      <c r="E963" s="1536"/>
    </row>
    <row r="964" spans="1:13" outlineLevel="1" x14ac:dyDescent="0.2">
      <c r="A964" s="1034">
        <v>33</v>
      </c>
      <c r="B964" s="1042"/>
      <c r="C964" s="1531" t="s">
        <v>1149</v>
      </c>
      <c r="D964" s="1532"/>
      <c r="E964" s="1533"/>
      <c r="F964" s="1036">
        <f>+IF((J856&gt;0),H856,0)</f>
        <v>0</v>
      </c>
      <c r="G964" s="1036">
        <f>+IF((J856&gt;0),I856,0)</f>
        <v>0</v>
      </c>
      <c r="H964" s="1036">
        <f t="shared" ref="H964" si="207">+F964-G964</f>
        <v>0</v>
      </c>
      <c r="I964" s="872"/>
      <c r="J964" s="1037">
        <v>0</v>
      </c>
      <c r="K964" s="872"/>
      <c r="L964" s="1038">
        <v>0</v>
      </c>
      <c r="M964" s="1039">
        <f t="shared" si="203"/>
        <v>0</v>
      </c>
    </row>
    <row r="965" spans="1:13" outlineLevel="1" x14ac:dyDescent="0.2">
      <c r="A965" s="1034">
        <v>34</v>
      </c>
      <c r="B965" s="1537" t="s">
        <v>2053</v>
      </c>
      <c r="C965" s="1531" t="s">
        <v>2045</v>
      </c>
      <c r="D965" s="1532"/>
      <c r="E965" s="1533"/>
      <c r="F965" s="1036">
        <f t="shared" ref="F965:F967" si="208">+IF((J857&gt;0),H857,0)</f>
        <v>0</v>
      </c>
      <c r="G965" s="1036">
        <f t="shared" ref="G965:G967" si="209">+IF((J857&gt;0),I857,0)</f>
        <v>0</v>
      </c>
      <c r="H965" s="1036">
        <f>+F965-G965</f>
        <v>0</v>
      </c>
      <c r="I965" s="872">
        <v>0</v>
      </c>
      <c r="J965" s="1037">
        <v>0</v>
      </c>
      <c r="K965" s="872"/>
      <c r="L965" s="1038">
        <v>0</v>
      </c>
      <c r="M965" s="1039">
        <f t="shared" si="203"/>
        <v>0</v>
      </c>
    </row>
    <row r="966" spans="1:13" outlineLevel="1" x14ac:dyDescent="0.2">
      <c r="A966" s="1034">
        <v>35</v>
      </c>
      <c r="B966" s="1537"/>
      <c r="C966" s="1531" t="s">
        <v>946</v>
      </c>
      <c r="D966" s="1532"/>
      <c r="E966" s="1533"/>
      <c r="F966" s="1036">
        <f t="shared" si="208"/>
        <v>0</v>
      </c>
      <c r="G966" s="1036">
        <f t="shared" si="209"/>
        <v>0</v>
      </c>
      <c r="H966" s="1036">
        <f t="shared" ref="H966:H981" si="210">+F966-G966</f>
        <v>0</v>
      </c>
      <c r="I966" s="872"/>
      <c r="J966" s="1037">
        <v>0</v>
      </c>
      <c r="K966" s="872"/>
      <c r="L966" s="1038">
        <v>0</v>
      </c>
      <c r="M966" s="1039">
        <f t="shared" si="203"/>
        <v>0</v>
      </c>
    </row>
    <row r="967" spans="1:13" outlineLevel="1" x14ac:dyDescent="0.2">
      <c r="A967" s="1034">
        <v>36</v>
      </c>
      <c r="B967" s="1537"/>
      <c r="C967" s="1531" t="s">
        <v>143</v>
      </c>
      <c r="D967" s="1532"/>
      <c r="E967" s="1533"/>
      <c r="F967" s="1036">
        <f t="shared" si="208"/>
        <v>0</v>
      </c>
      <c r="G967" s="1036">
        <f t="shared" si="209"/>
        <v>0</v>
      </c>
      <c r="H967" s="1036">
        <f t="shared" si="210"/>
        <v>0</v>
      </c>
      <c r="I967" s="872"/>
      <c r="J967" s="1037">
        <v>0</v>
      </c>
      <c r="K967" s="872"/>
      <c r="L967" s="1038">
        <v>0</v>
      </c>
      <c r="M967" s="1039">
        <f t="shared" si="203"/>
        <v>0</v>
      </c>
    </row>
    <row r="968" spans="1:13" outlineLevel="1" x14ac:dyDescent="0.2">
      <c r="A968" s="1034">
        <v>37</v>
      </c>
      <c r="B968" s="1537"/>
      <c r="C968" s="1531" t="s">
        <v>431</v>
      </c>
      <c r="D968" s="1532"/>
      <c r="E968" s="1533"/>
      <c r="F968" s="1036">
        <f>+IF((J863&gt;0),H863,0)</f>
        <v>0</v>
      </c>
      <c r="G968" s="1036">
        <f>+IF((J863&gt;0),I863,0)</f>
        <v>0</v>
      </c>
      <c r="H968" s="1036">
        <f t="shared" ref="H968" si="211">+F968-G968</f>
        <v>0</v>
      </c>
      <c r="I968" s="872">
        <v>0</v>
      </c>
      <c r="J968" s="1037">
        <f>-'Imp diferidos'!F189-'Imp diferidos'!F195-'Imp diferidos'!F199</f>
        <v>0</v>
      </c>
      <c r="K968" s="872"/>
      <c r="L968" s="1038">
        <v>0</v>
      </c>
      <c r="M968" s="1039">
        <f t="shared" si="203"/>
        <v>0</v>
      </c>
    </row>
    <row r="969" spans="1:13" outlineLevel="1" x14ac:dyDescent="0.2">
      <c r="A969" s="1034">
        <v>38</v>
      </c>
      <c r="B969" s="1537"/>
      <c r="C969" s="1531" t="s">
        <v>813</v>
      </c>
      <c r="D969" s="1532"/>
      <c r="E969" s="1533"/>
      <c r="F969" s="1036">
        <f>+IF((J864&gt;0),H864,0)</f>
        <v>0</v>
      </c>
      <c r="G969" s="1036">
        <f>+IF((J864&gt;0),I864,0)</f>
        <v>0</v>
      </c>
      <c r="H969" s="1036">
        <f t="shared" si="210"/>
        <v>0</v>
      </c>
      <c r="I969" s="872"/>
      <c r="J969" s="1037">
        <v>0</v>
      </c>
      <c r="K969" s="872"/>
      <c r="L969" s="1038">
        <v>0</v>
      </c>
      <c r="M969" s="1039">
        <f t="shared" si="203"/>
        <v>0</v>
      </c>
    </row>
    <row r="970" spans="1:13" outlineLevel="1" x14ac:dyDescent="0.2">
      <c r="A970" s="1034">
        <v>39</v>
      </c>
      <c r="B970" s="1537"/>
      <c r="C970" s="1531" t="s">
        <v>59</v>
      </c>
      <c r="D970" s="1532"/>
      <c r="E970" s="1533"/>
      <c r="F970" s="1036">
        <f t="shared" ref="F970" si="212">+IF((J865&gt;0),H865,0)</f>
        <v>0</v>
      </c>
      <c r="G970" s="1036">
        <f t="shared" ref="G970" si="213">+IF((J865&gt;0),I865,0)</f>
        <v>0</v>
      </c>
      <c r="H970" s="1036">
        <f t="shared" ref="H970:H971" si="214">+F970-G970</f>
        <v>0</v>
      </c>
      <c r="I970" s="872">
        <v>0</v>
      </c>
      <c r="J970" s="1037">
        <f>-'Imp diferidos'!F206</f>
        <v>0</v>
      </c>
      <c r="K970" s="872"/>
      <c r="L970" s="1038">
        <v>0</v>
      </c>
      <c r="M970" s="1039">
        <f t="shared" si="203"/>
        <v>0</v>
      </c>
    </row>
    <row r="971" spans="1:13" outlineLevel="1" x14ac:dyDescent="0.2">
      <c r="A971" s="1034">
        <v>40</v>
      </c>
      <c r="B971" s="1537"/>
      <c r="C971" s="1531" t="s">
        <v>72</v>
      </c>
      <c r="D971" s="1532"/>
      <c r="E971" s="1533"/>
      <c r="F971" s="1036">
        <f>+IF((J867&gt;0),H867,0)</f>
        <v>0</v>
      </c>
      <c r="G971" s="1036">
        <f>+IF((J867&gt;0),I867,0)</f>
        <v>0</v>
      </c>
      <c r="H971" s="1036">
        <f t="shared" si="214"/>
        <v>0</v>
      </c>
      <c r="I971" s="872"/>
      <c r="J971" s="1037">
        <f>-'Imp diferidos'!F185</f>
        <v>0</v>
      </c>
      <c r="K971" s="872"/>
      <c r="L971" s="1038">
        <v>0</v>
      </c>
      <c r="M971" s="1039">
        <f t="shared" si="203"/>
        <v>0</v>
      </c>
    </row>
    <row r="972" spans="1:13" outlineLevel="1" x14ac:dyDescent="0.2">
      <c r="A972" s="1034">
        <v>41</v>
      </c>
      <c r="B972" s="1537"/>
      <c r="C972" s="1531" t="s">
        <v>1668</v>
      </c>
      <c r="D972" s="1532"/>
      <c r="E972" s="1533"/>
      <c r="F972" s="1036">
        <f>+IF((J868&gt;0),H868,0)</f>
        <v>0</v>
      </c>
      <c r="G972" s="1036">
        <f>+IF((J868&gt;0),I868,0)</f>
        <v>0</v>
      </c>
      <c r="H972" s="1036">
        <f t="shared" ref="H972" si="215">+F972-G972</f>
        <v>0</v>
      </c>
      <c r="I972" s="872"/>
      <c r="J972" s="1037">
        <v>0</v>
      </c>
      <c r="K972" s="872"/>
      <c r="L972" s="1038">
        <v>0</v>
      </c>
      <c r="M972" s="1039">
        <f t="shared" si="203"/>
        <v>0</v>
      </c>
    </row>
    <row r="973" spans="1:13" outlineLevel="1" x14ac:dyDescent="0.2">
      <c r="A973" s="1034">
        <v>42</v>
      </c>
      <c r="B973" s="1537"/>
      <c r="C973" s="1531" t="s">
        <v>2046</v>
      </c>
      <c r="D973" s="1532"/>
      <c r="E973" s="1533"/>
      <c r="F973" s="1036">
        <f>+IF((J871&lt;0),H871,0)</f>
        <v>0</v>
      </c>
      <c r="G973" s="1036">
        <f>+IF((J871&lt;0),I871,0)</f>
        <v>0</v>
      </c>
      <c r="H973" s="1036">
        <f>+G973-F973</f>
        <v>0</v>
      </c>
      <c r="I973" s="872"/>
      <c r="J973" s="1037">
        <f>-'Imp diferidos'!F211</f>
        <v>0</v>
      </c>
      <c r="K973" s="872"/>
      <c r="L973" s="1038">
        <v>0</v>
      </c>
      <c r="M973" s="1039">
        <f t="shared" si="203"/>
        <v>0</v>
      </c>
    </row>
    <row r="974" spans="1:13" outlineLevel="1" x14ac:dyDescent="0.2">
      <c r="A974" s="1034">
        <v>43</v>
      </c>
      <c r="B974" s="1537"/>
      <c r="C974" s="1531" t="s">
        <v>2047</v>
      </c>
      <c r="D974" s="1532"/>
      <c r="E974" s="1533"/>
      <c r="F974" s="1036">
        <f>+IF((J874&lt;0),H874,0)</f>
        <v>0</v>
      </c>
      <c r="G974" s="1036">
        <f>+IF((J874&lt;0),I874,0)</f>
        <v>0</v>
      </c>
      <c r="H974" s="1036">
        <f t="shared" ref="H974:H976" si="216">+G974-F974</f>
        <v>0</v>
      </c>
      <c r="I974" s="872"/>
      <c r="J974" s="1037">
        <v>0</v>
      </c>
      <c r="K974" s="872"/>
      <c r="L974" s="1038">
        <v>0</v>
      </c>
      <c r="M974" s="1039">
        <f t="shared" si="203"/>
        <v>0</v>
      </c>
    </row>
    <row r="975" spans="1:13" outlineLevel="1" x14ac:dyDescent="0.2">
      <c r="A975" s="1034">
        <v>44</v>
      </c>
      <c r="B975" s="1537"/>
      <c r="C975" s="1531" t="s">
        <v>2048</v>
      </c>
      <c r="D975" s="1532"/>
      <c r="E975" s="1533"/>
      <c r="F975" s="1036">
        <f>+IF((J876&lt;0),H876,0)</f>
        <v>0</v>
      </c>
      <c r="G975" s="1036">
        <f>+IF((J876&lt;0),I876,0)</f>
        <v>0</v>
      </c>
      <c r="H975" s="1036">
        <f t="shared" si="216"/>
        <v>0</v>
      </c>
      <c r="I975" s="872"/>
      <c r="J975" s="1037">
        <v>0</v>
      </c>
      <c r="K975" s="872"/>
      <c r="L975" s="1038">
        <v>0</v>
      </c>
      <c r="M975" s="1039">
        <f t="shared" si="203"/>
        <v>0</v>
      </c>
    </row>
    <row r="976" spans="1:13" outlineLevel="1" x14ac:dyDescent="0.2">
      <c r="A976" s="1034">
        <v>45</v>
      </c>
      <c r="B976" s="1537"/>
      <c r="C976" s="1531" t="s">
        <v>1550</v>
      </c>
      <c r="D976" s="1532"/>
      <c r="E976" s="1533"/>
      <c r="F976" s="1036">
        <f>+IF((J877&lt;0),H877,0)</f>
        <v>0</v>
      </c>
      <c r="G976" s="1036">
        <f>+IF((J877&lt;0),I877,0)</f>
        <v>0</v>
      </c>
      <c r="H976" s="1036">
        <f t="shared" si="216"/>
        <v>0</v>
      </c>
      <c r="I976" s="872"/>
      <c r="J976" s="1037">
        <v>0</v>
      </c>
      <c r="K976" s="872"/>
      <c r="L976" s="1038">
        <v>0</v>
      </c>
      <c r="M976" s="1039">
        <f t="shared" si="203"/>
        <v>0</v>
      </c>
    </row>
    <row r="977" spans="1:13" outlineLevel="1" x14ac:dyDescent="0.2">
      <c r="A977" s="1034">
        <v>46</v>
      </c>
      <c r="B977" s="1537"/>
      <c r="C977" s="1531" t="s">
        <v>2049</v>
      </c>
      <c r="D977" s="1532"/>
      <c r="E977" s="1533"/>
      <c r="F977" s="1036">
        <f>+IF((J879&lt;0),H879,0)</f>
        <v>0</v>
      </c>
      <c r="G977" s="1036">
        <f>+IF((J879&lt;0),I879,0)</f>
        <v>0</v>
      </c>
      <c r="H977" s="1036">
        <f t="shared" ref="H977" si="217">+G977-F977</f>
        <v>0</v>
      </c>
      <c r="I977" s="872"/>
      <c r="J977" s="1037">
        <v>0</v>
      </c>
      <c r="K977" s="872"/>
      <c r="L977" s="1038">
        <v>0</v>
      </c>
      <c r="M977" s="1039">
        <f t="shared" si="203"/>
        <v>0</v>
      </c>
    </row>
    <row r="978" spans="1:13" outlineLevel="1" x14ac:dyDescent="0.2">
      <c r="A978" s="1034">
        <v>47</v>
      </c>
      <c r="B978" s="1537"/>
      <c r="C978" s="1531" t="s">
        <v>2050</v>
      </c>
      <c r="D978" s="1532"/>
      <c r="E978" s="1533"/>
      <c r="F978" s="1036">
        <f>+IF((J873&lt;0),H873,0)</f>
        <v>0</v>
      </c>
      <c r="G978" s="1036">
        <f>+IF((J873&lt;0),I873,0)</f>
        <v>0</v>
      </c>
      <c r="H978" s="1036">
        <f t="shared" ref="H978" si="218">+G978-F978</f>
        <v>0</v>
      </c>
      <c r="I978" s="872"/>
      <c r="J978" s="1037"/>
      <c r="K978" s="872"/>
      <c r="L978" s="1038">
        <v>0</v>
      </c>
      <c r="M978" s="1039">
        <f t="shared" si="203"/>
        <v>0</v>
      </c>
    </row>
    <row r="979" spans="1:13" outlineLevel="1" x14ac:dyDescent="0.2">
      <c r="A979" s="1034">
        <v>48</v>
      </c>
      <c r="B979" s="1537"/>
      <c r="C979" s="1531" t="s">
        <v>2051</v>
      </c>
      <c r="D979" s="1532"/>
      <c r="E979" s="1533"/>
      <c r="F979" s="1043"/>
      <c r="G979" s="1043"/>
      <c r="H979" s="1036">
        <f t="shared" si="210"/>
        <v>0</v>
      </c>
      <c r="I979" s="872"/>
      <c r="J979" s="1037">
        <v>0</v>
      </c>
      <c r="K979" s="872"/>
      <c r="L979" s="1038">
        <v>0</v>
      </c>
      <c r="M979" s="1039">
        <f t="shared" si="203"/>
        <v>0</v>
      </c>
    </row>
    <row r="980" spans="1:13" outlineLevel="1" x14ac:dyDescent="0.2">
      <c r="A980" s="1034">
        <v>49</v>
      </c>
      <c r="B980" s="1537"/>
      <c r="C980" s="1531" t="s">
        <v>1517</v>
      </c>
      <c r="D980" s="1532"/>
      <c r="E980" s="1533"/>
      <c r="F980" s="1036"/>
      <c r="G980" s="1036"/>
      <c r="H980" s="1036">
        <f t="shared" si="210"/>
        <v>0</v>
      </c>
      <c r="I980" s="872"/>
      <c r="J980" s="1037">
        <v>0</v>
      </c>
      <c r="K980" s="872"/>
      <c r="L980" s="1038">
        <v>0</v>
      </c>
      <c r="M980" s="1039">
        <f t="shared" si="203"/>
        <v>0</v>
      </c>
    </row>
    <row r="981" spans="1:13" outlineLevel="1" x14ac:dyDescent="0.2">
      <c r="A981" s="1034">
        <v>50</v>
      </c>
      <c r="B981" s="1537"/>
      <c r="C981" s="1531" t="s">
        <v>1160</v>
      </c>
      <c r="D981" s="1532"/>
      <c r="E981" s="1533"/>
      <c r="F981" s="1036"/>
      <c r="G981" s="1036"/>
      <c r="H981" s="1036">
        <f t="shared" si="210"/>
        <v>0</v>
      </c>
      <c r="I981" s="872"/>
      <c r="J981" s="1037">
        <v>0</v>
      </c>
      <c r="K981" s="872"/>
      <c r="L981" s="1038">
        <v>0</v>
      </c>
      <c r="M981" s="1039">
        <f t="shared" si="203"/>
        <v>0</v>
      </c>
    </row>
    <row r="982" spans="1:13" outlineLevel="1" x14ac:dyDescent="0.2">
      <c r="A982" s="1044">
        <v>51</v>
      </c>
      <c r="B982" s="1045"/>
      <c r="C982" s="1534" t="s">
        <v>990</v>
      </c>
      <c r="D982" s="1535"/>
      <c r="E982" s="1536"/>
      <c r="F982" s="834">
        <f>SUM(F964:F981)</f>
        <v>0</v>
      </c>
      <c r="G982" s="834">
        <f t="shared" ref="G982:L982" si="219">SUM(G964:G981)</f>
        <v>0</v>
      </c>
      <c r="H982" s="834">
        <f t="shared" si="219"/>
        <v>0</v>
      </c>
      <c r="I982" s="834">
        <f t="shared" si="219"/>
        <v>0</v>
      </c>
      <c r="J982" s="834">
        <f t="shared" si="219"/>
        <v>0</v>
      </c>
      <c r="K982" s="834">
        <f t="shared" si="219"/>
        <v>0</v>
      </c>
      <c r="L982" s="834">
        <f t="shared" si="219"/>
        <v>0</v>
      </c>
      <c r="M982" s="1039">
        <f t="shared" si="203"/>
        <v>0</v>
      </c>
    </row>
    <row r="983" spans="1:13" x14ac:dyDescent="0.2">
      <c r="A983" s="1046"/>
      <c r="B983" s="833"/>
      <c r="C983" s="833"/>
      <c r="F983" s="1047"/>
      <c r="G983" s="1048"/>
      <c r="H983" s="1049"/>
      <c r="I983" s="1050"/>
      <c r="J983" s="1051"/>
      <c r="K983" s="1052"/>
      <c r="L983" s="833"/>
      <c r="M983" s="833"/>
    </row>
    <row r="984" spans="1:13" x14ac:dyDescent="0.2">
      <c r="A984" s="833"/>
      <c r="B984" s="833"/>
      <c r="C984" s="833"/>
      <c r="D984" s="1047"/>
      <c r="F984" s="1048"/>
      <c r="H984" s="1049"/>
      <c r="I984" s="1050"/>
      <c r="K984" s="1144"/>
      <c r="M984" s="1053"/>
    </row>
    <row r="985" spans="1:13" x14ac:dyDescent="0.2">
      <c r="A985" s="833"/>
      <c r="B985" s="833"/>
      <c r="C985" s="833"/>
      <c r="D985" s="1052"/>
      <c r="F985" s="1052"/>
      <c r="G985" s="1052"/>
      <c r="I985" s="1050"/>
      <c r="K985" s="1054" t="s">
        <v>1302</v>
      </c>
      <c r="M985" s="833"/>
    </row>
    <row r="986" spans="1:13" x14ac:dyDescent="0.2">
      <c r="A986" s="1056"/>
      <c r="B986" s="1056"/>
      <c r="C986" s="1056"/>
      <c r="D986" s="1057"/>
      <c r="F986" s="1057"/>
      <c r="G986" s="1057"/>
      <c r="H986" s="1057"/>
      <c r="I986" s="1057"/>
      <c r="J986" s="1058"/>
      <c r="K986" s="1058"/>
      <c r="L986" s="1056"/>
      <c r="M986" s="1059"/>
    </row>
    <row r="987" spans="1:13" x14ac:dyDescent="0.2">
      <c r="A987" s="1144"/>
      <c r="B987" s="1144"/>
      <c r="C987" s="1144"/>
      <c r="D987" s="1144"/>
      <c r="F987" s="1144"/>
      <c r="G987" s="1144"/>
      <c r="H987" s="1144"/>
      <c r="I987" s="1144"/>
      <c r="J987" s="1144"/>
      <c r="K987" s="1144"/>
      <c r="L987" s="1144"/>
      <c r="M987" s="1144"/>
    </row>
    <row r="988" spans="1:13" x14ac:dyDescent="0.2">
      <c r="A988" s="1144"/>
      <c r="B988" s="1144"/>
      <c r="C988" s="1144"/>
      <c r="D988" s="1144"/>
      <c r="F988" s="1144"/>
      <c r="G988" s="1144"/>
      <c r="H988" s="1144"/>
      <c r="I988" s="1144"/>
      <c r="K988" s="1144"/>
      <c r="L988" s="1144"/>
      <c r="M988" s="1144"/>
    </row>
  </sheetData>
  <mergeCells count="1034">
    <mergeCell ref="C982:E982"/>
    <mergeCell ref="D853:G853"/>
    <mergeCell ref="D260:G260"/>
    <mergeCell ref="C973:E973"/>
    <mergeCell ref="C974:E974"/>
    <mergeCell ref="C975:E975"/>
    <mergeCell ref="C976:E976"/>
    <mergeCell ref="C977:E977"/>
    <mergeCell ref="C978:E978"/>
    <mergeCell ref="C979:E979"/>
    <mergeCell ref="C980:E980"/>
    <mergeCell ref="C981:E981"/>
    <mergeCell ref="C964:E964"/>
    <mergeCell ref="C965:E965"/>
    <mergeCell ref="C966:E966"/>
    <mergeCell ref="C967:E967"/>
    <mergeCell ref="C968:E968"/>
    <mergeCell ref="C969:E969"/>
    <mergeCell ref="C970:E970"/>
    <mergeCell ref="C971:E971"/>
    <mergeCell ref="C972:E972"/>
    <mergeCell ref="D931:G931"/>
    <mergeCell ref="D932:G932"/>
    <mergeCell ref="C944:E944"/>
    <mergeCell ref="C945:E945"/>
    <mergeCell ref="C946:E946"/>
    <mergeCell ref="C947:E947"/>
    <mergeCell ref="C948:E948"/>
    <mergeCell ref="C949:E949"/>
    <mergeCell ref="C943:E943"/>
    <mergeCell ref="D925:G925"/>
    <mergeCell ref="D926:G926"/>
    <mergeCell ref="D927:G927"/>
    <mergeCell ref="D928:G928"/>
    <mergeCell ref="D929:G929"/>
    <mergeCell ref="D930:G930"/>
    <mergeCell ref="D818:G818"/>
    <mergeCell ref="D854:G854"/>
    <mergeCell ref="D855:G855"/>
    <mergeCell ref="D869:G869"/>
    <mergeCell ref="D870:G870"/>
    <mergeCell ref="D880:G880"/>
    <mergeCell ref="D881:G881"/>
    <mergeCell ref="D888:G888"/>
    <mergeCell ref="D889:G889"/>
    <mergeCell ref="D904:G904"/>
    <mergeCell ref="D905:G905"/>
    <mergeCell ref="D911:G911"/>
    <mergeCell ref="D912:G912"/>
    <mergeCell ref="D913:G913"/>
    <mergeCell ref="D917:G917"/>
    <mergeCell ref="D918:G918"/>
    <mergeCell ref="D922:G922"/>
    <mergeCell ref="D910:G910"/>
    <mergeCell ref="D914:G914"/>
    <mergeCell ref="D915:G915"/>
    <mergeCell ref="D916:G916"/>
    <mergeCell ref="D919:G919"/>
    <mergeCell ref="D920:G920"/>
    <mergeCell ref="D921:G921"/>
    <mergeCell ref="D923:G923"/>
    <mergeCell ref="D924:G924"/>
    <mergeCell ref="D899:G899"/>
    <mergeCell ref="D900:G900"/>
    <mergeCell ref="D901:G901"/>
    <mergeCell ref="D902:G902"/>
    <mergeCell ref="D903:G903"/>
    <mergeCell ref="D906:G906"/>
    <mergeCell ref="D907:G907"/>
    <mergeCell ref="D908:G908"/>
    <mergeCell ref="D909:G909"/>
    <mergeCell ref="D890:G890"/>
    <mergeCell ref="D891:G891"/>
    <mergeCell ref="D892:G892"/>
    <mergeCell ref="D893:G893"/>
    <mergeCell ref="D894:G894"/>
    <mergeCell ref="D895:G895"/>
    <mergeCell ref="D896:G896"/>
    <mergeCell ref="D897:G897"/>
    <mergeCell ref="D898:G898"/>
    <mergeCell ref="D876:G876"/>
    <mergeCell ref="D877:G877"/>
    <mergeCell ref="D878:G878"/>
    <mergeCell ref="D879:G879"/>
    <mergeCell ref="D882:G882"/>
    <mergeCell ref="D883:G883"/>
    <mergeCell ref="D884:G884"/>
    <mergeCell ref="D885:G885"/>
    <mergeCell ref="D886:G886"/>
    <mergeCell ref="D865:G865"/>
    <mergeCell ref="D866:G866"/>
    <mergeCell ref="D867:G867"/>
    <mergeCell ref="D868:G868"/>
    <mergeCell ref="D871:G871"/>
    <mergeCell ref="D872:G872"/>
    <mergeCell ref="D873:G873"/>
    <mergeCell ref="D874:G874"/>
    <mergeCell ref="D875:G875"/>
    <mergeCell ref="D856:G856"/>
    <mergeCell ref="D857:G857"/>
    <mergeCell ref="D858:G858"/>
    <mergeCell ref="D859:G859"/>
    <mergeCell ref="D860:G860"/>
    <mergeCell ref="D861:G861"/>
    <mergeCell ref="D862:G862"/>
    <mergeCell ref="D863:G863"/>
    <mergeCell ref="D864:G864"/>
    <mergeCell ref="D835:G835"/>
    <mergeCell ref="D836:G836"/>
    <mergeCell ref="D837:G837"/>
    <mergeCell ref="D838:G838"/>
    <mergeCell ref="D839:G839"/>
    <mergeCell ref="D840:G840"/>
    <mergeCell ref="D841:G841"/>
    <mergeCell ref="D842:G842"/>
    <mergeCell ref="D757:G757"/>
    <mergeCell ref="D764:G764"/>
    <mergeCell ref="D765:G765"/>
    <mergeCell ref="D766:G766"/>
    <mergeCell ref="D767:G767"/>
    <mergeCell ref="D768:G768"/>
    <mergeCell ref="D761:G761"/>
    <mergeCell ref="D762:G762"/>
    <mergeCell ref="D760:G760"/>
    <mergeCell ref="D763:G763"/>
    <mergeCell ref="D769:G769"/>
    <mergeCell ref="D787:G787"/>
    <mergeCell ref="D788:G788"/>
    <mergeCell ref="D780:G780"/>
    <mergeCell ref="D809:G809"/>
    <mergeCell ref="D810:G810"/>
    <mergeCell ref="D826:G826"/>
    <mergeCell ref="D803:G803"/>
    <mergeCell ref="D804:G804"/>
    <mergeCell ref="D805:G805"/>
    <mergeCell ref="D806:G806"/>
    <mergeCell ref="D807:G807"/>
    <mergeCell ref="D808:G808"/>
    <mergeCell ref="D812:G812"/>
    <mergeCell ref="D813:G813"/>
    <mergeCell ref="D814:G814"/>
    <mergeCell ref="D811:G811"/>
    <mergeCell ref="D792:G792"/>
    <mergeCell ref="D793:G793"/>
    <mergeCell ref="D794:G794"/>
    <mergeCell ref="D797:G797"/>
    <mergeCell ref="D798:G798"/>
    <mergeCell ref="D778:G778"/>
    <mergeCell ref="D779:G779"/>
    <mergeCell ref="D827:G827"/>
    <mergeCell ref="D828:G828"/>
    <mergeCell ref="D829:G829"/>
    <mergeCell ref="D830:G830"/>
    <mergeCell ref="D831:G831"/>
    <mergeCell ref="D832:G832"/>
    <mergeCell ref="D833:G833"/>
    <mergeCell ref="D789:G789"/>
    <mergeCell ref="D790:G790"/>
    <mergeCell ref="D791:G791"/>
    <mergeCell ref="D834:G834"/>
    <mergeCell ref="D815:G815"/>
    <mergeCell ref="D816:G816"/>
    <mergeCell ref="D817:G817"/>
    <mergeCell ref="D820:G820"/>
    <mergeCell ref="D821:G821"/>
    <mergeCell ref="D822:G822"/>
    <mergeCell ref="D823:G823"/>
    <mergeCell ref="D824:G824"/>
    <mergeCell ref="D825:G825"/>
    <mergeCell ref="D758:G758"/>
    <mergeCell ref="D759:G759"/>
    <mergeCell ref="D770:G770"/>
    <mergeCell ref="D738:G738"/>
    <mergeCell ref="D739:G739"/>
    <mergeCell ref="D740:G740"/>
    <mergeCell ref="D741:G741"/>
    <mergeCell ref="D742:G742"/>
    <mergeCell ref="D743:G743"/>
    <mergeCell ref="D744:G744"/>
    <mergeCell ref="D745:G745"/>
    <mergeCell ref="D748:G748"/>
    <mergeCell ref="D799:G799"/>
    <mergeCell ref="D800:G800"/>
    <mergeCell ref="D801:G801"/>
    <mergeCell ref="D802:G802"/>
    <mergeCell ref="D781:G781"/>
    <mergeCell ref="D782:G782"/>
    <mergeCell ref="D783:G783"/>
    <mergeCell ref="D784:G784"/>
    <mergeCell ref="D785:G785"/>
    <mergeCell ref="D786:G786"/>
    <mergeCell ref="D771:G771"/>
    <mergeCell ref="D772:G772"/>
    <mergeCell ref="D773:G773"/>
    <mergeCell ref="D774:G774"/>
    <mergeCell ref="D775:G775"/>
    <mergeCell ref="D776:G776"/>
    <mergeCell ref="D777:G777"/>
    <mergeCell ref="D728:G728"/>
    <mergeCell ref="D729:G729"/>
    <mergeCell ref="D730:G730"/>
    <mergeCell ref="D733:G733"/>
    <mergeCell ref="D734:G734"/>
    <mergeCell ref="D746:G746"/>
    <mergeCell ref="D747:G747"/>
    <mergeCell ref="D755:G755"/>
    <mergeCell ref="D713:G713"/>
    <mergeCell ref="D714:G714"/>
    <mergeCell ref="D716:G716"/>
    <mergeCell ref="D717:G717"/>
    <mergeCell ref="D718:G718"/>
    <mergeCell ref="D719:G719"/>
    <mergeCell ref="D720:G720"/>
    <mergeCell ref="D721:G721"/>
    <mergeCell ref="D722:G722"/>
    <mergeCell ref="D724:G724"/>
    <mergeCell ref="D725:G725"/>
    <mergeCell ref="D731:G731"/>
    <mergeCell ref="D732:G732"/>
    <mergeCell ref="D735:G735"/>
    <mergeCell ref="D736:G736"/>
    <mergeCell ref="D737:G737"/>
    <mergeCell ref="D749:G749"/>
    <mergeCell ref="D750:G750"/>
    <mergeCell ref="D751:G751"/>
    <mergeCell ref="D752:G752"/>
    <mergeCell ref="D753:G753"/>
    <mergeCell ref="D754:G754"/>
    <mergeCell ref="D708:G708"/>
    <mergeCell ref="D709:G709"/>
    <mergeCell ref="D710:G710"/>
    <mergeCell ref="D711:G711"/>
    <mergeCell ref="D712:G712"/>
    <mergeCell ref="D715:G715"/>
    <mergeCell ref="D723:G723"/>
    <mergeCell ref="D726:G726"/>
    <mergeCell ref="D727:G727"/>
    <mergeCell ref="D698:G698"/>
    <mergeCell ref="D699:G699"/>
    <mergeCell ref="D701:G701"/>
    <mergeCell ref="D702:G702"/>
    <mergeCell ref="D703:G703"/>
    <mergeCell ref="D704:G704"/>
    <mergeCell ref="D705:G705"/>
    <mergeCell ref="D706:G706"/>
    <mergeCell ref="D707:G707"/>
    <mergeCell ref="D689:G689"/>
    <mergeCell ref="D690:G690"/>
    <mergeCell ref="D691:G691"/>
    <mergeCell ref="D692:G692"/>
    <mergeCell ref="D693:G693"/>
    <mergeCell ref="D694:G694"/>
    <mergeCell ref="D695:G695"/>
    <mergeCell ref="D696:G696"/>
    <mergeCell ref="D697:G697"/>
    <mergeCell ref="D680:G680"/>
    <mergeCell ref="D681:G681"/>
    <mergeCell ref="D682:G682"/>
    <mergeCell ref="D683:G683"/>
    <mergeCell ref="D684:G684"/>
    <mergeCell ref="D685:G685"/>
    <mergeCell ref="D686:G686"/>
    <mergeCell ref="D687:G687"/>
    <mergeCell ref="D688:G688"/>
    <mergeCell ref="D673:G673"/>
    <mergeCell ref="D674:G674"/>
    <mergeCell ref="D675:G675"/>
    <mergeCell ref="D676:G676"/>
    <mergeCell ref="D677:G677"/>
    <mergeCell ref="D678:G678"/>
    <mergeCell ref="D679:G679"/>
    <mergeCell ref="D643:G643"/>
    <mergeCell ref="D664:G664"/>
    <mergeCell ref="D665:G665"/>
    <mergeCell ref="D666:G666"/>
    <mergeCell ref="D667:G667"/>
    <mergeCell ref="D668:G668"/>
    <mergeCell ref="D669:G669"/>
    <mergeCell ref="D670:G670"/>
    <mergeCell ref="D671:G671"/>
    <mergeCell ref="D672:G672"/>
    <mergeCell ref="D655:G655"/>
    <mergeCell ref="D656:G656"/>
    <mergeCell ref="D657:G657"/>
    <mergeCell ref="D658:G658"/>
    <mergeCell ref="D659:G659"/>
    <mergeCell ref="D660:G660"/>
    <mergeCell ref="D661:G661"/>
    <mergeCell ref="D662:G662"/>
    <mergeCell ref="D663:G663"/>
    <mergeCell ref="D646:G646"/>
    <mergeCell ref="D647:G647"/>
    <mergeCell ref="D648:G648"/>
    <mergeCell ref="D649:G649"/>
    <mergeCell ref="D650:G650"/>
    <mergeCell ref="D651:G651"/>
    <mergeCell ref="D652:G652"/>
    <mergeCell ref="D653:G653"/>
    <mergeCell ref="D654:G654"/>
    <mergeCell ref="D635:G635"/>
    <mergeCell ref="D636:G636"/>
    <mergeCell ref="D637:G637"/>
    <mergeCell ref="D638:G638"/>
    <mergeCell ref="D639:G639"/>
    <mergeCell ref="D640:G640"/>
    <mergeCell ref="D609:G609"/>
    <mergeCell ref="D644:G644"/>
    <mergeCell ref="D645:G645"/>
    <mergeCell ref="D626:G626"/>
    <mergeCell ref="D627:G627"/>
    <mergeCell ref="D628:G628"/>
    <mergeCell ref="D629:G629"/>
    <mergeCell ref="D630:G630"/>
    <mergeCell ref="D631:G631"/>
    <mergeCell ref="D632:G632"/>
    <mergeCell ref="D633:G633"/>
    <mergeCell ref="D634:G634"/>
    <mergeCell ref="D617:G617"/>
    <mergeCell ref="D618:G618"/>
    <mergeCell ref="D619:G619"/>
    <mergeCell ref="D620:G620"/>
    <mergeCell ref="D621:G621"/>
    <mergeCell ref="D622:G622"/>
    <mergeCell ref="D623:G623"/>
    <mergeCell ref="D624:G624"/>
    <mergeCell ref="D625:G625"/>
    <mergeCell ref="D607:G607"/>
    <mergeCell ref="D608:G608"/>
    <mergeCell ref="D610:G610"/>
    <mergeCell ref="D611:G611"/>
    <mergeCell ref="D612:G612"/>
    <mergeCell ref="D613:G613"/>
    <mergeCell ref="D614:G614"/>
    <mergeCell ref="D615:G615"/>
    <mergeCell ref="D616:G616"/>
    <mergeCell ref="D598:G598"/>
    <mergeCell ref="D599:G599"/>
    <mergeCell ref="D600:G600"/>
    <mergeCell ref="D601:G601"/>
    <mergeCell ref="D602:G602"/>
    <mergeCell ref="D603:G603"/>
    <mergeCell ref="D604:G604"/>
    <mergeCell ref="D605:G605"/>
    <mergeCell ref="D606:G606"/>
    <mergeCell ref="D588:G588"/>
    <mergeCell ref="D589:G589"/>
    <mergeCell ref="D591:G591"/>
    <mergeCell ref="D593:G593"/>
    <mergeCell ref="D595:G595"/>
    <mergeCell ref="D597:G597"/>
    <mergeCell ref="D559:G559"/>
    <mergeCell ref="D561:G561"/>
    <mergeCell ref="D562:G562"/>
    <mergeCell ref="D563:G563"/>
    <mergeCell ref="D564:G564"/>
    <mergeCell ref="D565:G565"/>
    <mergeCell ref="D567:G567"/>
    <mergeCell ref="D568:G568"/>
    <mergeCell ref="D569:G569"/>
    <mergeCell ref="D570:G570"/>
    <mergeCell ref="D571:G571"/>
    <mergeCell ref="D572:G572"/>
    <mergeCell ref="D573:G573"/>
    <mergeCell ref="D574:G574"/>
    <mergeCell ref="D575:G575"/>
    <mergeCell ref="D577:G577"/>
    <mergeCell ref="D578:G578"/>
    <mergeCell ref="D579:G579"/>
    <mergeCell ref="D580:G580"/>
    <mergeCell ref="D581:G581"/>
    <mergeCell ref="D582:G582"/>
    <mergeCell ref="D583:G583"/>
    <mergeCell ref="D566:G566"/>
    <mergeCell ref="D590:G590"/>
    <mergeCell ref="D592:G592"/>
    <mergeCell ref="D553:G553"/>
    <mergeCell ref="D554:G554"/>
    <mergeCell ref="D555:G555"/>
    <mergeCell ref="D556:G556"/>
    <mergeCell ref="D558:G558"/>
    <mergeCell ref="D540:G540"/>
    <mergeCell ref="D541:G541"/>
    <mergeCell ref="D542:G542"/>
    <mergeCell ref="D543:G543"/>
    <mergeCell ref="D544:G544"/>
    <mergeCell ref="D545:G545"/>
    <mergeCell ref="D546:G546"/>
    <mergeCell ref="D547:G547"/>
    <mergeCell ref="D548:G548"/>
    <mergeCell ref="D585:G585"/>
    <mergeCell ref="D586:G586"/>
    <mergeCell ref="D587:G587"/>
    <mergeCell ref="D576:G576"/>
    <mergeCell ref="D584:G584"/>
    <mergeCell ref="D536:G536"/>
    <mergeCell ref="D537:G537"/>
    <mergeCell ref="D538:G538"/>
    <mergeCell ref="D539:G539"/>
    <mergeCell ref="D522:G522"/>
    <mergeCell ref="D523:G523"/>
    <mergeCell ref="D524:G524"/>
    <mergeCell ref="D525:G525"/>
    <mergeCell ref="D526:G526"/>
    <mergeCell ref="D527:G527"/>
    <mergeCell ref="D528:G528"/>
    <mergeCell ref="D529:G529"/>
    <mergeCell ref="D530:G530"/>
    <mergeCell ref="D549:G549"/>
    <mergeCell ref="D550:G550"/>
    <mergeCell ref="D551:G551"/>
    <mergeCell ref="D552:G552"/>
    <mergeCell ref="D466:G466"/>
    <mergeCell ref="D467:G467"/>
    <mergeCell ref="D468:G468"/>
    <mergeCell ref="D469:G469"/>
    <mergeCell ref="D470:G470"/>
    <mergeCell ref="D471:G471"/>
    <mergeCell ref="D472:G472"/>
    <mergeCell ref="D473:G473"/>
    <mergeCell ref="D474:G474"/>
    <mergeCell ref="D475:G475"/>
    <mergeCell ref="D476:G476"/>
    <mergeCell ref="D477:G477"/>
    <mergeCell ref="D478:G478"/>
    <mergeCell ref="D479:G479"/>
    <mergeCell ref="D480:G480"/>
    <mergeCell ref="D481:G481"/>
    <mergeCell ref="D482:G482"/>
    <mergeCell ref="D483:G483"/>
    <mergeCell ref="D484:G484"/>
    <mergeCell ref="D512:G512"/>
    <mergeCell ref="D513:G513"/>
    <mergeCell ref="D514:G514"/>
    <mergeCell ref="D515:G515"/>
    <mergeCell ref="D516:G516"/>
    <mergeCell ref="D517:G517"/>
    <mergeCell ref="D518:G518"/>
    <mergeCell ref="D519:G519"/>
    <mergeCell ref="D521:G521"/>
    <mergeCell ref="D520:G520"/>
    <mergeCell ref="D557:G557"/>
    <mergeCell ref="D560:G560"/>
    <mergeCell ref="D485:G485"/>
    <mergeCell ref="D486:G486"/>
    <mergeCell ref="D487:G487"/>
    <mergeCell ref="D488:G488"/>
    <mergeCell ref="D489:G489"/>
    <mergeCell ref="D492:G492"/>
    <mergeCell ref="D493:G493"/>
    <mergeCell ref="D494:G494"/>
    <mergeCell ref="D495:G495"/>
    <mergeCell ref="D497:G497"/>
    <mergeCell ref="D498:G498"/>
    <mergeCell ref="D499:G499"/>
    <mergeCell ref="D500:G500"/>
    <mergeCell ref="D501:G501"/>
    <mergeCell ref="D502:G502"/>
    <mergeCell ref="D503:G503"/>
    <mergeCell ref="D504:G504"/>
    <mergeCell ref="D505:G505"/>
    <mergeCell ref="D506:G506"/>
    <mergeCell ref="D507:G507"/>
    <mergeCell ref="D508:G508"/>
    <mergeCell ref="D509:G509"/>
    <mergeCell ref="D510:G510"/>
    <mergeCell ref="D511:G511"/>
    <mergeCell ref="D531:G531"/>
    <mergeCell ref="D532:G532"/>
    <mergeCell ref="D533:G533"/>
    <mergeCell ref="D534:G534"/>
    <mergeCell ref="D535:G535"/>
    <mergeCell ref="D453:G453"/>
    <mergeCell ref="D454:G454"/>
    <mergeCell ref="D436:G436"/>
    <mergeCell ref="D438:G438"/>
    <mergeCell ref="D439:G439"/>
    <mergeCell ref="D437:G437"/>
    <mergeCell ref="D440:G440"/>
    <mergeCell ref="D441:G441"/>
    <mergeCell ref="D442:G442"/>
    <mergeCell ref="D443:G443"/>
    <mergeCell ref="D445:G445"/>
    <mergeCell ref="D464:G464"/>
    <mergeCell ref="D444:G444"/>
    <mergeCell ref="D465:G465"/>
    <mergeCell ref="D490:G490"/>
    <mergeCell ref="D491:G491"/>
    <mergeCell ref="D496:G496"/>
    <mergeCell ref="D455:G455"/>
    <mergeCell ref="D456:G456"/>
    <mergeCell ref="D457:G457"/>
    <mergeCell ref="D458:G458"/>
    <mergeCell ref="D459:G459"/>
    <mergeCell ref="D460:G460"/>
    <mergeCell ref="D461:G461"/>
    <mergeCell ref="D462:G462"/>
    <mergeCell ref="D424:G424"/>
    <mergeCell ref="D425:G425"/>
    <mergeCell ref="D426:G426"/>
    <mergeCell ref="D427:G427"/>
    <mergeCell ref="D428:G428"/>
    <mergeCell ref="D429:G429"/>
    <mergeCell ref="D430:G430"/>
    <mergeCell ref="D431:G431"/>
    <mergeCell ref="D432:G432"/>
    <mergeCell ref="D415:G415"/>
    <mergeCell ref="D416:G416"/>
    <mergeCell ref="D417:G417"/>
    <mergeCell ref="D418:G418"/>
    <mergeCell ref="D419:G419"/>
    <mergeCell ref="D420:G420"/>
    <mergeCell ref="D421:G421"/>
    <mergeCell ref="D422:G422"/>
    <mergeCell ref="D423:G423"/>
    <mergeCell ref="D406:G406"/>
    <mergeCell ref="D407:G407"/>
    <mergeCell ref="D408:G408"/>
    <mergeCell ref="D409:G409"/>
    <mergeCell ref="D410:G410"/>
    <mergeCell ref="D411:G411"/>
    <mergeCell ref="D412:G412"/>
    <mergeCell ref="D413:G413"/>
    <mergeCell ref="D414:G414"/>
    <mergeCell ref="D397:G397"/>
    <mergeCell ref="D398:G398"/>
    <mergeCell ref="D399:G399"/>
    <mergeCell ref="D400:G400"/>
    <mergeCell ref="D401:G401"/>
    <mergeCell ref="D402:G402"/>
    <mergeCell ref="D403:G403"/>
    <mergeCell ref="D404:G404"/>
    <mergeCell ref="D405:G405"/>
    <mergeCell ref="D394:G394"/>
    <mergeCell ref="D395:G395"/>
    <mergeCell ref="D396:G396"/>
    <mergeCell ref="D309:G309"/>
    <mergeCell ref="D310:G310"/>
    <mergeCell ref="D311:G311"/>
    <mergeCell ref="D312:G312"/>
    <mergeCell ref="D313:G313"/>
    <mergeCell ref="D323:G323"/>
    <mergeCell ref="D315:G315"/>
    <mergeCell ref="D316:G316"/>
    <mergeCell ref="D317:G317"/>
    <mergeCell ref="D318:G318"/>
    <mergeCell ref="D319:G319"/>
    <mergeCell ref="D320:G320"/>
    <mergeCell ref="D321:G321"/>
    <mergeCell ref="D322:G322"/>
    <mergeCell ref="D346:G346"/>
    <mergeCell ref="D347:G347"/>
    <mergeCell ref="D348:G348"/>
    <mergeCell ref="D349:G349"/>
    <mergeCell ref="D350:G350"/>
    <mergeCell ref="D351:G351"/>
    <mergeCell ref="D352:G352"/>
    <mergeCell ref="D384:G384"/>
    <mergeCell ref="D385:G385"/>
    <mergeCell ref="D386:G386"/>
    <mergeCell ref="D387:G387"/>
    <mergeCell ref="D388:G388"/>
    <mergeCell ref="D389:G389"/>
    <mergeCell ref="D390:G390"/>
    <mergeCell ref="D391:G391"/>
    <mergeCell ref="D393:G393"/>
    <mergeCell ref="D392:G392"/>
    <mergeCell ref="D371:G371"/>
    <mergeCell ref="D376:G376"/>
    <mergeCell ref="D377:G377"/>
    <mergeCell ref="D378:G378"/>
    <mergeCell ref="D379:G379"/>
    <mergeCell ref="D380:G380"/>
    <mergeCell ref="D381:G381"/>
    <mergeCell ref="D382:G382"/>
    <mergeCell ref="D383:G383"/>
    <mergeCell ref="D372:G372"/>
    <mergeCell ref="D373:G373"/>
    <mergeCell ref="D374:G374"/>
    <mergeCell ref="D375:G375"/>
    <mergeCell ref="D343:G343"/>
    <mergeCell ref="D344:G344"/>
    <mergeCell ref="D354:G354"/>
    <mergeCell ref="D355:G355"/>
    <mergeCell ref="D356:G356"/>
    <mergeCell ref="D357:G357"/>
    <mergeCell ref="D368:G368"/>
    <mergeCell ref="D369:G369"/>
    <mergeCell ref="D370:G370"/>
    <mergeCell ref="D345:G345"/>
    <mergeCell ref="D353:G353"/>
    <mergeCell ref="D358:G358"/>
    <mergeCell ref="D365:G365"/>
    <mergeCell ref="D366:G366"/>
    <mergeCell ref="D367:G367"/>
    <mergeCell ref="D359:G359"/>
    <mergeCell ref="D360:G360"/>
    <mergeCell ref="D361:G361"/>
    <mergeCell ref="D362:G362"/>
    <mergeCell ref="D363:G363"/>
    <mergeCell ref="D364:G364"/>
    <mergeCell ref="D334:G334"/>
    <mergeCell ref="D335:G335"/>
    <mergeCell ref="D336:G336"/>
    <mergeCell ref="D337:G337"/>
    <mergeCell ref="D338:G338"/>
    <mergeCell ref="D339:G339"/>
    <mergeCell ref="D340:G340"/>
    <mergeCell ref="D341:G341"/>
    <mergeCell ref="D342:G342"/>
    <mergeCell ref="D324:G324"/>
    <mergeCell ref="D325:G325"/>
    <mergeCell ref="D326:G326"/>
    <mergeCell ref="D327:G327"/>
    <mergeCell ref="D328:G328"/>
    <mergeCell ref="D329:G329"/>
    <mergeCell ref="D330:G330"/>
    <mergeCell ref="D331:G331"/>
    <mergeCell ref="D333:G333"/>
    <mergeCell ref="D332:G332"/>
    <mergeCell ref="D292:G292"/>
    <mergeCell ref="D293:G293"/>
    <mergeCell ref="D294:G294"/>
    <mergeCell ref="D295:G295"/>
    <mergeCell ref="D296:G296"/>
    <mergeCell ref="D297:G297"/>
    <mergeCell ref="D308:G308"/>
    <mergeCell ref="D314:G314"/>
    <mergeCell ref="D298:G298"/>
    <mergeCell ref="D299:G299"/>
    <mergeCell ref="D300:G300"/>
    <mergeCell ref="D301:G301"/>
    <mergeCell ref="D302:G302"/>
    <mergeCell ref="D303:G303"/>
    <mergeCell ref="D304:G304"/>
    <mergeCell ref="D305:G305"/>
    <mergeCell ref="D306:G306"/>
    <mergeCell ref="D307:G307"/>
    <mergeCell ref="D261:G261"/>
    <mergeCell ref="D262:G262"/>
    <mergeCell ref="D285:G285"/>
    <mergeCell ref="D235:G235"/>
    <mergeCell ref="D232:G232"/>
    <mergeCell ref="D240:G240"/>
    <mergeCell ref="D289:G289"/>
    <mergeCell ref="D286:G286"/>
    <mergeCell ref="D287:G287"/>
    <mergeCell ref="D288:G288"/>
    <mergeCell ref="D290:G290"/>
    <mergeCell ref="D291:G291"/>
    <mergeCell ref="D263:G263"/>
    <mergeCell ref="D264:G264"/>
    <mergeCell ref="D265:G265"/>
    <mergeCell ref="D266:G266"/>
    <mergeCell ref="D267:G267"/>
    <mergeCell ref="D268:G268"/>
    <mergeCell ref="D278:G278"/>
    <mergeCell ref="D279:G279"/>
    <mergeCell ref="D280:G280"/>
    <mergeCell ref="D281:G281"/>
    <mergeCell ref="D282:G282"/>
    <mergeCell ref="D283:G283"/>
    <mergeCell ref="D284:G284"/>
    <mergeCell ref="D276:G276"/>
    <mergeCell ref="D277:G277"/>
    <mergeCell ref="D225:G225"/>
    <mergeCell ref="D226:G226"/>
    <mergeCell ref="D227:G227"/>
    <mergeCell ref="D228:G228"/>
    <mergeCell ref="D229:G229"/>
    <mergeCell ref="D230:G230"/>
    <mergeCell ref="D231:G231"/>
    <mergeCell ref="D233:G233"/>
    <mergeCell ref="D234:G234"/>
    <mergeCell ref="D236:G236"/>
    <mergeCell ref="D237:G237"/>
    <mergeCell ref="D238:G238"/>
    <mergeCell ref="D239:G239"/>
    <mergeCell ref="D251:G251"/>
    <mergeCell ref="D252:G252"/>
    <mergeCell ref="D253:G253"/>
    <mergeCell ref="D242:G242"/>
    <mergeCell ref="D243:G243"/>
    <mergeCell ref="D244:G244"/>
    <mergeCell ref="D245:G245"/>
    <mergeCell ref="D246:G246"/>
    <mergeCell ref="D247:G247"/>
    <mergeCell ref="D248:G248"/>
    <mergeCell ref="D249:G249"/>
    <mergeCell ref="D250:G250"/>
    <mergeCell ref="D212:G212"/>
    <mergeCell ref="D213:G213"/>
    <mergeCell ref="D214:G214"/>
    <mergeCell ref="D215:G215"/>
    <mergeCell ref="D216:G216"/>
    <mergeCell ref="D217:G217"/>
    <mergeCell ref="D218:G218"/>
    <mergeCell ref="D202:G202"/>
    <mergeCell ref="D224:G224"/>
    <mergeCell ref="D219:G219"/>
    <mergeCell ref="D203:G203"/>
    <mergeCell ref="D204:G204"/>
    <mergeCell ref="D205:G205"/>
    <mergeCell ref="D206:G206"/>
    <mergeCell ref="D207:G207"/>
    <mergeCell ref="D208:G208"/>
    <mergeCell ref="D209:G209"/>
    <mergeCell ref="D210:G210"/>
    <mergeCell ref="D211:G211"/>
    <mergeCell ref="D220:G220"/>
    <mergeCell ref="D221:G221"/>
    <mergeCell ref="D222:G222"/>
    <mergeCell ref="D223:G223"/>
    <mergeCell ref="D189:G189"/>
    <mergeCell ref="D191:G191"/>
    <mergeCell ref="D192:G192"/>
    <mergeCell ref="D193:G193"/>
    <mergeCell ref="D194:G194"/>
    <mergeCell ref="D195:G195"/>
    <mergeCell ref="D196:G196"/>
    <mergeCell ref="D197:G197"/>
    <mergeCell ref="D198:G198"/>
    <mergeCell ref="D179:G179"/>
    <mergeCell ref="D180:G180"/>
    <mergeCell ref="D181:G181"/>
    <mergeCell ref="D182:G182"/>
    <mergeCell ref="D183:G183"/>
    <mergeCell ref="D184:G184"/>
    <mergeCell ref="D186:G186"/>
    <mergeCell ref="D187:G187"/>
    <mergeCell ref="D188:G188"/>
    <mergeCell ref="D174:G174"/>
    <mergeCell ref="D175:G175"/>
    <mergeCell ref="D176:G176"/>
    <mergeCell ref="D177:G177"/>
    <mergeCell ref="D178:G178"/>
    <mergeCell ref="D137:G137"/>
    <mergeCell ref="D141:G141"/>
    <mergeCell ref="D142:G142"/>
    <mergeCell ref="D143:G143"/>
    <mergeCell ref="D144:G144"/>
    <mergeCell ref="D145:G145"/>
    <mergeCell ref="D146:G146"/>
    <mergeCell ref="D147:G147"/>
    <mergeCell ref="D148:G148"/>
    <mergeCell ref="D138:G138"/>
    <mergeCell ref="D140:G140"/>
    <mergeCell ref="D153:G153"/>
    <mergeCell ref="D157:G157"/>
    <mergeCell ref="D165:G165"/>
    <mergeCell ref="D166:G166"/>
    <mergeCell ref="D86:G86"/>
    <mergeCell ref="D87:G87"/>
    <mergeCell ref="D89:G89"/>
    <mergeCell ref="D90:G90"/>
    <mergeCell ref="D91:G91"/>
    <mergeCell ref="D92:G92"/>
    <mergeCell ref="D93:G93"/>
    <mergeCell ref="D127:G127"/>
    <mergeCell ref="D128:G128"/>
    <mergeCell ref="D129:G129"/>
    <mergeCell ref="D130:G130"/>
    <mergeCell ref="D131:G131"/>
    <mergeCell ref="D132:G132"/>
    <mergeCell ref="D133:G133"/>
    <mergeCell ref="D135:G135"/>
    <mergeCell ref="D136:G136"/>
    <mergeCell ref="D115:G115"/>
    <mergeCell ref="D116:G116"/>
    <mergeCell ref="D119:G119"/>
    <mergeCell ref="D120:G120"/>
    <mergeCell ref="D121:G121"/>
    <mergeCell ref="D122:G122"/>
    <mergeCell ref="D123:G123"/>
    <mergeCell ref="D124:G124"/>
    <mergeCell ref="D125:G125"/>
    <mergeCell ref="D117:G117"/>
    <mergeCell ref="D118:G118"/>
    <mergeCell ref="D126:G126"/>
    <mergeCell ref="D134:G134"/>
    <mergeCell ref="D88:G88"/>
    <mergeCell ref="D104:G104"/>
    <mergeCell ref="D105:G105"/>
    <mergeCell ref="D106:G106"/>
    <mergeCell ref="D108:G108"/>
    <mergeCell ref="D109:G109"/>
    <mergeCell ref="D110:G110"/>
    <mergeCell ref="D111:G111"/>
    <mergeCell ref="D113:G113"/>
    <mergeCell ref="D114:G114"/>
    <mergeCell ref="D94:G94"/>
    <mergeCell ref="D95:G95"/>
    <mergeCell ref="D96:G96"/>
    <mergeCell ref="D97:G97"/>
    <mergeCell ref="D98:G98"/>
    <mergeCell ref="D99:G99"/>
    <mergeCell ref="D101:G101"/>
    <mergeCell ref="D102:G102"/>
    <mergeCell ref="D103:G103"/>
    <mergeCell ref="D100:G100"/>
    <mergeCell ref="D112:G112"/>
    <mergeCell ref="D107:G107"/>
    <mergeCell ref="D59:G59"/>
    <mergeCell ref="D60:G60"/>
    <mergeCell ref="D61:G61"/>
    <mergeCell ref="D62:G62"/>
    <mergeCell ref="D63:G63"/>
    <mergeCell ref="D64:G64"/>
    <mergeCell ref="D65:G65"/>
    <mergeCell ref="D84:G84"/>
    <mergeCell ref="D85:G85"/>
    <mergeCell ref="D74:G74"/>
    <mergeCell ref="D75:G75"/>
    <mergeCell ref="D76:G76"/>
    <mergeCell ref="D77:G77"/>
    <mergeCell ref="D79:G79"/>
    <mergeCell ref="D80:G80"/>
    <mergeCell ref="D72:G72"/>
    <mergeCell ref="D78:G78"/>
    <mergeCell ref="D81:G81"/>
    <mergeCell ref="D82:G82"/>
    <mergeCell ref="D83:G83"/>
    <mergeCell ref="D40:G40"/>
    <mergeCell ref="D41:G41"/>
    <mergeCell ref="D42:G42"/>
    <mergeCell ref="D43:G43"/>
    <mergeCell ref="D44:G44"/>
    <mergeCell ref="D45:G45"/>
    <mergeCell ref="D199:G199"/>
    <mergeCell ref="D200:G200"/>
    <mergeCell ref="D190:G190"/>
    <mergeCell ref="D185:G185"/>
    <mergeCell ref="D173:G173"/>
    <mergeCell ref="D149:G149"/>
    <mergeCell ref="D150:G150"/>
    <mergeCell ref="D151:G151"/>
    <mergeCell ref="D152:G152"/>
    <mergeCell ref="D154:G154"/>
    <mergeCell ref="D155:G155"/>
    <mergeCell ref="D156:G156"/>
    <mergeCell ref="D158:G158"/>
    <mergeCell ref="D159:G159"/>
    <mergeCell ref="D160:G160"/>
    <mergeCell ref="D161:G161"/>
    <mergeCell ref="D162:G162"/>
    <mergeCell ref="D164:G164"/>
    <mergeCell ref="D66:G66"/>
    <mergeCell ref="D68:G68"/>
    <mergeCell ref="D69:G69"/>
    <mergeCell ref="D70:G70"/>
    <mergeCell ref="D71:G71"/>
    <mergeCell ref="D73:G73"/>
    <mergeCell ref="D57:G57"/>
    <mergeCell ref="D58:G58"/>
    <mergeCell ref="D16:G16"/>
    <mergeCell ref="D17:G17"/>
    <mergeCell ref="D18:G18"/>
    <mergeCell ref="D19:G19"/>
    <mergeCell ref="D20:G20"/>
    <mergeCell ref="D21:G21"/>
    <mergeCell ref="D26:G26"/>
    <mergeCell ref="D27:G27"/>
    <mergeCell ref="D28:G28"/>
    <mergeCell ref="D29:G29"/>
    <mergeCell ref="D30:G30"/>
    <mergeCell ref="D31:G31"/>
    <mergeCell ref="D25:G25"/>
    <mergeCell ref="D33:G33"/>
    <mergeCell ref="D46:G46"/>
    <mergeCell ref="D55:G55"/>
    <mergeCell ref="D67:G67"/>
    <mergeCell ref="D47:G47"/>
    <mergeCell ref="D48:G48"/>
    <mergeCell ref="D49:G49"/>
    <mergeCell ref="D50:G50"/>
    <mergeCell ref="D51:G51"/>
    <mergeCell ref="D52:G52"/>
    <mergeCell ref="D53:G53"/>
    <mergeCell ref="D54:G54"/>
    <mergeCell ref="D56:G56"/>
    <mergeCell ref="D34:G34"/>
    <mergeCell ref="D35:G35"/>
    <mergeCell ref="D36:G36"/>
    <mergeCell ref="D37:G37"/>
    <mergeCell ref="D38:G38"/>
    <mergeCell ref="D39:G39"/>
    <mergeCell ref="C820:C826"/>
    <mergeCell ref="C827:C833"/>
    <mergeCell ref="C838:C842"/>
    <mergeCell ref="C409:C420"/>
    <mergeCell ref="C716:C722"/>
    <mergeCell ref="C736:C740"/>
    <mergeCell ref="C752:C754"/>
    <mergeCell ref="C776:C780"/>
    <mergeCell ref="C781:C787"/>
    <mergeCell ref="C797:C802"/>
    <mergeCell ref="C682:C685"/>
    <mergeCell ref="C686:C689"/>
    <mergeCell ref="C690:C692"/>
    <mergeCell ref="C701:C703"/>
    <mergeCell ref="C407:C408"/>
    <mergeCell ref="C427:C429"/>
    <mergeCell ref="C492:C495"/>
    <mergeCell ref="C502:C504"/>
    <mergeCell ref="C505:C507"/>
    <mergeCell ref="C508:C510"/>
    <mergeCell ref="C468:C469"/>
    <mergeCell ref="C471:C472"/>
    <mergeCell ref="C473:C474"/>
    <mergeCell ref="C812:C815"/>
    <mergeCell ref="C803:C808"/>
    <mergeCell ref="C601:C608"/>
    <mergeCell ref="C634:C640"/>
    <mergeCell ref="C269:C274"/>
    <mergeCell ref="C377:C380"/>
    <mergeCell ref="C381:C384"/>
    <mergeCell ref="C385:C386"/>
    <mergeCell ref="C387:C388"/>
    <mergeCell ref="C393:C396"/>
    <mergeCell ref="C108:C109"/>
    <mergeCell ref="C242:C246"/>
    <mergeCell ref="C247:C248"/>
    <mergeCell ref="C249:C253"/>
    <mergeCell ref="C263:C268"/>
    <mergeCell ref="C440:C443"/>
    <mergeCell ref="C450:C452"/>
    <mergeCell ref="C453:C455"/>
    <mergeCell ref="C456:C458"/>
    <mergeCell ref="C466:C467"/>
    <mergeCell ref="C398:C399"/>
    <mergeCell ref="C400:C401"/>
    <mergeCell ref="C402:C403"/>
    <mergeCell ref="C404:C405"/>
    <mergeCell ref="C258:G258"/>
    <mergeCell ref="D269:G269"/>
    <mergeCell ref="D270:G270"/>
    <mergeCell ref="D271:G271"/>
    <mergeCell ref="D272:G272"/>
    <mergeCell ref="D273:G273"/>
    <mergeCell ref="D274:G274"/>
    <mergeCell ref="D275:G275"/>
    <mergeCell ref="D169:G169"/>
    <mergeCell ref="D170:G170"/>
    <mergeCell ref="D171:G171"/>
    <mergeCell ref="D172:G172"/>
    <mergeCell ref="B965:B981"/>
    <mergeCell ref="J941:J942"/>
    <mergeCell ref="K941:K942"/>
    <mergeCell ref="L941:L942"/>
    <mergeCell ref="M941:M942"/>
    <mergeCell ref="A941:A942"/>
    <mergeCell ref="B941:C942"/>
    <mergeCell ref="F941:F942"/>
    <mergeCell ref="G941:G942"/>
    <mergeCell ref="H941:H942"/>
    <mergeCell ref="I941:I942"/>
    <mergeCell ref="C950:E950"/>
    <mergeCell ref="C951:E951"/>
    <mergeCell ref="C952:E952"/>
    <mergeCell ref="C953:E953"/>
    <mergeCell ref="C954:E954"/>
    <mergeCell ref="C955:E955"/>
    <mergeCell ref="C956:E956"/>
    <mergeCell ref="C957:E957"/>
    <mergeCell ref="C958:E958"/>
    <mergeCell ref="C959:E959"/>
    <mergeCell ref="C960:E960"/>
    <mergeCell ref="C961:E961"/>
    <mergeCell ref="C962:E962"/>
    <mergeCell ref="B945:B960"/>
    <mergeCell ref="C963:E963"/>
    <mergeCell ref="I795:K795"/>
    <mergeCell ref="C748:C751"/>
    <mergeCell ref="C731:C732"/>
    <mergeCell ref="I699:K699"/>
    <mergeCell ref="L699:M699"/>
    <mergeCell ref="C662:C664"/>
    <mergeCell ref="C430:C432"/>
    <mergeCell ref="C704:C705"/>
    <mergeCell ref="C713:C714"/>
    <mergeCell ref="C546:C547"/>
    <mergeCell ref="C610:C633"/>
    <mergeCell ref="C644:C655"/>
    <mergeCell ref="C656:C660"/>
    <mergeCell ref="C521:C522"/>
    <mergeCell ref="C523:C524"/>
    <mergeCell ref="C525:C526"/>
    <mergeCell ref="C527:C528"/>
    <mergeCell ref="C530:C531"/>
    <mergeCell ref="C532:C543"/>
    <mergeCell ref="D433:G433"/>
    <mergeCell ref="D434:G434"/>
    <mergeCell ref="D435:G435"/>
    <mergeCell ref="C475:C476"/>
    <mergeCell ref="C477:C488"/>
    <mergeCell ref="D463:G463"/>
    <mergeCell ref="D446:G446"/>
    <mergeCell ref="D447:G447"/>
    <mergeCell ref="D448:G448"/>
    <mergeCell ref="D449:G449"/>
    <mergeCell ref="D450:G450"/>
    <mergeCell ref="D451:G451"/>
    <mergeCell ref="D452:G452"/>
    <mergeCell ref="C2:G2"/>
    <mergeCell ref="C3:G3"/>
    <mergeCell ref="D4:G4"/>
    <mergeCell ref="D15:G15"/>
    <mergeCell ref="D8:G8"/>
    <mergeCell ref="C241:G241"/>
    <mergeCell ref="D201:G201"/>
    <mergeCell ref="D167:G167"/>
    <mergeCell ref="D168:G168"/>
    <mergeCell ref="D163:G163"/>
    <mergeCell ref="D139:G139"/>
    <mergeCell ref="C94:C95"/>
    <mergeCell ref="C96:C97"/>
    <mergeCell ref="C101:C104"/>
    <mergeCell ref="C12:C15"/>
    <mergeCell ref="C26:C27"/>
    <mergeCell ref="C81:C82"/>
    <mergeCell ref="C84:C85"/>
    <mergeCell ref="C92:C93"/>
    <mergeCell ref="D5:G5"/>
    <mergeCell ref="D6:G6"/>
    <mergeCell ref="D7:G7"/>
    <mergeCell ref="D11:G11"/>
    <mergeCell ref="D12:G12"/>
    <mergeCell ref="D13:G13"/>
    <mergeCell ref="D14:G14"/>
    <mergeCell ref="D22:G22"/>
    <mergeCell ref="D23:G23"/>
    <mergeCell ref="D9:G9"/>
    <mergeCell ref="D10:G10"/>
    <mergeCell ref="D24:G24"/>
    <mergeCell ref="D32:G32"/>
  </mergeCells>
  <conditionalFormatting sqref="C241">
    <cfRule type="cellIs" dxfId="22" priority="119" operator="lessThan">
      <formula>0</formula>
    </cfRule>
  </conditionalFormatting>
  <conditionalFormatting sqref="D641:H642">
    <cfRule type="cellIs" dxfId="21" priority="122" operator="lessThan">
      <formula>0</formula>
    </cfRule>
  </conditionalFormatting>
  <conditionalFormatting sqref="H935:I935">
    <cfRule type="cellIs" dxfId="20" priority="5" operator="lessThan">
      <formula>0</formula>
    </cfRule>
  </conditionalFormatting>
  <conditionalFormatting sqref="H261:L593">
    <cfRule type="cellIs" dxfId="19" priority="49" operator="lessThan">
      <formula>0</formula>
    </cfRule>
  </conditionalFormatting>
  <conditionalFormatting sqref="I595:M842">
    <cfRule type="cellIs" dxfId="18" priority="123" operator="lessThan">
      <formula>0</formula>
    </cfRule>
  </conditionalFormatting>
  <conditionalFormatting sqref="K887">
    <cfRule type="cellIs" dxfId="17" priority="7" operator="lessThan">
      <formula>0</formula>
    </cfRule>
  </conditionalFormatting>
  <conditionalFormatting sqref="L904:M904">
    <cfRule type="cellIs" dxfId="16" priority="1" operator="lessThan">
      <formula>0</formula>
    </cfRule>
  </conditionalFormatting>
  <conditionalFormatting sqref="M5 H5:L253 M9">
    <cfRule type="cellIs" dxfId="15" priority="124" operator="lessThan">
      <formula>0</formula>
    </cfRule>
  </conditionalFormatting>
  <conditionalFormatting sqref="M32">
    <cfRule type="cellIs" dxfId="14" priority="47" operator="lessThan">
      <formula>0</formula>
    </cfRule>
  </conditionalFormatting>
  <conditionalFormatting sqref="M55">
    <cfRule type="cellIs" dxfId="13" priority="45" operator="lessThan">
      <formula>0</formula>
    </cfRule>
  </conditionalFormatting>
  <conditionalFormatting sqref="M88">
    <cfRule type="cellIs" dxfId="12" priority="43" operator="lessThan">
      <formula>0</formula>
    </cfRule>
  </conditionalFormatting>
  <conditionalFormatting sqref="M117">
    <cfRule type="cellIs" dxfId="11" priority="41" operator="lessThan">
      <formula>0</formula>
    </cfRule>
  </conditionalFormatting>
  <conditionalFormatting sqref="M138">
    <cfRule type="cellIs" dxfId="10" priority="37" operator="lessThan">
      <formula>0</formula>
    </cfRule>
  </conditionalFormatting>
  <conditionalFormatting sqref="M199:M200">
    <cfRule type="cellIs" dxfId="9" priority="33" operator="lessThan">
      <formula>0</formula>
    </cfRule>
  </conditionalFormatting>
  <conditionalFormatting sqref="M240">
    <cfRule type="cellIs" dxfId="8" priority="31" operator="lessThan">
      <formula>0</formula>
    </cfRule>
  </conditionalFormatting>
  <conditionalFormatting sqref="M261:M262">
    <cfRule type="cellIs" dxfId="7" priority="25" operator="lessThan">
      <formula>0</formula>
    </cfRule>
  </conditionalFormatting>
  <conditionalFormatting sqref="M285">
    <cfRule type="cellIs" dxfId="6" priority="23" operator="lessThan">
      <formula>0</formula>
    </cfRule>
  </conditionalFormatting>
  <conditionalFormatting sqref="M289">
    <cfRule type="cellIs" dxfId="5" priority="21" operator="lessThan">
      <formula>0</formula>
    </cfRule>
  </conditionalFormatting>
  <conditionalFormatting sqref="M373">
    <cfRule type="cellIs" dxfId="4" priority="19" operator="lessThan">
      <formula>0</formula>
    </cfRule>
  </conditionalFormatting>
  <conditionalFormatting sqref="M436">
    <cfRule type="cellIs" dxfId="3" priority="17" operator="lessThan">
      <formula>0</formula>
    </cfRule>
  </conditionalFormatting>
  <conditionalFormatting sqref="M438">
    <cfRule type="cellIs" dxfId="2" priority="13" operator="lessThan">
      <formula>0</formula>
    </cfRule>
  </conditionalFormatting>
  <conditionalFormatting sqref="M545">
    <cfRule type="cellIs" dxfId="1" priority="11" operator="lessThan">
      <formula>0</formula>
    </cfRule>
  </conditionalFormatting>
  <conditionalFormatting sqref="M592:M593">
    <cfRule type="cellIs" dxfId="0" priority="9" operator="lessThan">
      <formula>0</formula>
    </cfRule>
  </conditionalFormatting>
  <dataValidations xWindow="580" yWindow="247" count="108">
    <dataValidation allowBlank="1" showInputMessage="1" showErrorMessage="1" prompt="Digite el efecto de la conversión de moneda diferente al peso _x000a_Utilice signo + o - dependiendo el efecto de la conversión" sqref="I6:I8 I290:I296 I34:I45 I186:I189 I11:I23 I119:I125 I47:I54 I68:I71 I73:I77 I25:I31 I56:I66 I79:I87 I90:I99 I101:I106 I108:I111 I113:I116 I127:I133 I158:I162 I141:I152 I135:I137 I154:I156 I164:I167 I174:I184 I169:I172 I191:I197 I263:I284 I286:I288 I577:I583 I298:I307 I309:I313 I315:I322 I324:I331 I333:I344 I346:I352 I354:I357 I368:I372 I376:I391 I393:I396 I398:I421 I423:I434 I440:I443 I445:I464 I466:I489 I492:I495 I497:I519 I521:I544 I546:I556 I558:I559 I561:I565 I567:I575 I359:I366 I585:I589" xr:uid="{00000000-0002-0000-0800-000000000000}"/>
    <dataValidation type="decimal" operator="greaterThanOrEqual" allowBlank="1" showInputMessage="1" showErrorMessage="1" error="Valor debe ser mayor o igual que 0" sqref="L242:L252 M833 K667:L667 H566:L566 K644:M661 H560:L560 H545:L545 M823:M826 H496:L496 H444:L444 H438:L439 H397:L397 H465:L465 I812:I817 M710:M712 H289:L289 H576:L576 H358:L358 K590:K593 H375:L375 L592:L593 H520:L520 H557:L557 J436:L436 H297:L297 H308:L308 H314:L314 H323:L323 H332:L332 H345:L345 H392:L392 H490:L491 I435:I436 H436 M745 M828:M830 I590:I593 H353:L353 H584:L584 J592:J593 J809:J818 I809:I810 M730:M743 H422:L422 H592:H593 H373:L373" xr:uid="{00000000-0002-0000-0800-000001000000}">
      <formula1>0</formula1>
    </dataValidation>
    <dataValidation type="decimal" operator="greaterThanOrEqual" allowBlank="1" showInputMessage="1" showErrorMessage="1" error="Valor debe ser mayor o igual 0" sqref="H100:L100" xr:uid="{00000000-0002-0000-0800-000002000000}">
      <formula1>0</formula1>
    </dataValidation>
    <dataValidation allowBlank="1" showInputMessage="1" showErrorMessage="1" prompt="Si el balance de prueba utilizado no tiene el cierre, digite en esta seccion el resultado utilidad o perdida del ejercicio. (No importa que la celda esté formulada) " sqref="H219:I219" xr:uid="{00000000-0002-0000-0800-000003000000}"/>
    <dataValidation allowBlank="1" showInputMessage="1" showErrorMessage="1" prompt="Registre el saldo de las obligaciones a cargo por captación de depósitos a través de los diversos mecanismos autorizados, así como por operaciones propias de la actividad del sector financiero." sqref="D143:F143" xr:uid="{00000000-0002-0000-0800-000006000000}"/>
    <dataValidation allowBlank="1" showInputMessage="1" showErrorMessage="1" prompt="registre el valor de los siniestros reconocidos por la entidad pendientes de pago solo si su actividad económica es del sector asegurador." sqref="D149:F149" xr:uid="{00000000-0002-0000-0800-000007000000}"/>
    <dataValidation allowBlank="1" showInputMessage="1" showErrorMessage="1" prompt="Registre el saldo de las obligaciones que tiene la empresa por ingresos recibidos en forma anticipada para prestar un servicio o realizar una venta en el futuro." sqref="F186:G186 D188:D189 F188:G189 D186" xr:uid="{00000000-0002-0000-0800-000008000000}"/>
    <dataValidation allowBlank="1" showInputMessage="1" showErrorMessage="1" prompt="Incluya en esta sección los saldos de las cuentas que representan el capital pagado, la prima en colocación de acciones (superávit de capital), así como las reservas creadas de carácter ocasional, legal o estatutaria." sqref="D202:I202" xr:uid="{00000000-0002-0000-0800-000009000000}"/>
    <dataValidation allowBlank="1" showInputMessage="1" showErrorMessage="1" prompt="Registre según corresponda los resultados obtenidos en ejercicios anteriores que correspondan a utilidades acumuladas, que estén a disposición del máximo órgano social o por pérdidas acumuladas que no han sido enjugadas" sqref="D224:I224" xr:uid="{00000000-0002-0000-0800-00000A000000}"/>
    <dataValidation allowBlank="1" showInputMessage="1" showErrorMessage="1" prompt="Registre el valor contable de los inventarios de propiedad de terceros que se encuentran a su cargo." sqref="D244:E244 H244:H245" xr:uid="{00000000-0002-0000-0800-00000B000000}"/>
    <dataValidation allowBlank="1" showInputMessage="1" showErrorMessage="1" prompt="Registre el valor contable de los inventarios de su propiedad, que se encuentran a cargo de terceros." sqref="D245:E246 H246" xr:uid="{00000000-0002-0000-0800-00000C000000}"/>
    <dataValidation allowBlank="1" showInputMessage="1" showErrorMessage="1" prompt="Digite en esta columna el efecto de la conversión si maneja moneda funcional diferente al peso, en ese caso en la columna anterior disminuya este valor" sqref="I242:I253" xr:uid="{00000000-0002-0000-0800-00000D000000}"/>
    <dataValidation operator="greaterThanOrEqual" allowBlank="1" showInputMessage="1" showErrorMessage="1" error="Valor debe ser mayor o igual que 0" sqref="K643:L643 K662:L666 K700:K709 L668:L709 M700:M709 K668:K698 M662:M698 I709:J709 M641 M746:M747 M596:M598 L716:L725 M715 M723 I818 M757:M768" xr:uid="{00000000-0002-0000-0800-00000E000000}"/>
    <dataValidation allowBlank="1" showInputMessage="1" showErrorMessage="1" prompt="Reporte los ingresos registrados en la contabilidad por concepto de dividendos, ganancias por el método de participación y por cambios en el valor razonable de las inversiones en subsidiarias, asociadas y/o negocios conjuntos. " sqref="D297:G297" xr:uid="{00000000-0002-0000-0800-00000F000000}"/>
    <dataValidation allowBlank="1" showInputMessage="1" showErrorMessage="1" prompt="El valor está amarrado al anexo de Ingresos no constitutivos de renta del aplicativo Business Tax._x000a_Este renglón no debe ser diligenciado por las entidades pertenecientes al Régimen Tributario Especial" sqref="D372:G372" xr:uid="{00000000-0002-0000-0800-000012000000}"/>
    <dataValidation allowBlank="1" showInputMessage="1" showErrorMessage="1" prompt="Registre el valor de la constitución de las reservas a cargo de la entidad. (Exclusivo para empresas aseguradoras)" sqref="D516:F516" xr:uid="{00000000-0002-0000-0800-000013000000}"/>
    <dataValidation allowBlank="1" showInputMessage="1" showErrorMessage="1" prompt="Renglon para registrar el valor por concepto de las prestaciones asistenciales y económicas derivadas de la reclamación correspondiente si el contribuyente es entidad aseguradora." sqref="D517:F517" xr:uid="{00000000-0002-0000-0800-000014000000}"/>
    <dataValidation allowBlank="1" showInputMessage="1" showErrorMessage="1" prompt="registre los gastos devengados en el periodo relacionados con las primas cedidas o pagadas a la entidad reaseguradora. " sqref="D518:F518" xr:uid="{00000000-0002-0000-0800-000015000000}"/>
    <dataValidation allowBlank="1" showInputMessage="1" showErrorMessage="1" prompt="Tales como el componente financiero del arrendamiento operativo, intereses, diferencia en cambio, intereses implícitos, actualización de provisiones, intereses por acciones preferenciales entre otros" sqref="D545:G545" xr:uid="{00000000-0002-0000-0800-000016000000}"/>
    <dataValidation allowBlank="1" showInputMessage="1" showErrorMessage="1" prompt="Registre en este bloque los saldos por los conceptos que se detallan y que no se hayan registrado anteriormente en otras cuentas, que hayan sido determinados conforme la técnica contable cuando a ello haya lugar." sqref="F588:G588 D585:D588 F585:G586" xr:uid="{00000000-0002-0000-0800-000017000000}"/>
    <dataValidation allowBlank="1" showInputMessage="1" showErrorMessage="1" prompt="Para propósito fiscal, este valor debe ser desagregado en el rubro que corresponda (venta de bienes, prestación de servicios, costos, gastos y deducciones, etc.), es decir, que se debe mostrar por separado los respectivos ingresos, costos y gastos" sqref="E590:G590 D590:D591" xr:uid="{00000000-0002-0000-0800-000018000000}"/>
    <dataValidation allowBlank="1" showInputMessage="1" showErrorMessage="1" prompt="Valor registrado en la contabilidad por la recuperación de provisiones, correspondientes a gastos no deducibles de acuerdo con la norma fiscal." sqref="E606 D606:D607" xr:uid="{00000000-0002-0000-0800-000019000000}"/>
    <dataValidation allowBlank="1" showInputMessage="1" showErrorMessage="1" prompt="resultado de la aplicación del régimen de precios de transferencia en las operaciones realizadas con vinculados económicos del exterior o de zonas francas o con personas, sociedades, entidades o empresas ubicadas en J. no cooperantes" sqref="H636:H637 D636:D638" xr:uid="{00000000-0002-0000-0800-00001A000000}"/>
    <dataValidation type="decimal" operator="greaterThanOrEqual" allowBlank="1" showInputMessage="1" showErrorMessage="1" error="Valor debe ser mayor o igual que 0" prompt="Si la empresa tiene contrato de estabilidad tributaria y la tarifa a aplicar por renta presuntiva es 3%, sigite este % en el recuadro Azul, de lo contrario deje en blanco._x000a__x000a_" sqref="I744:M744" xr:uid="{00000000-0002-0000-0800-00001B000000}">
      <formula1>0</formula1>
    </dataValidation>
    <dataValidation allowBlank="1" showInputMessage="1" showErrorMessage="1" promptTitle="Revise la diferencia" prompt="Podría ser por tema de decimales, o porque existe  diferencia entre las partidas  permanentes y temporales digitadas. Recuerde que esta verificación parte de la utilidad o perdida contable y la compara con la renta liquida o perdida liquída" sqref="L710" xr:uid="{00000000-0002-0000-0800-00001D000000}"/>
    <dataValidation operator="greaterThanOrEqual" allowBlank="1" showInputMessage="1" showErrorMessage="1" error="Valor debe ser mayor o igual que 0" prompt="Se deja amarrado como está el prevalidador, aunque creemos que debe ser amarrado al valor fiscal. Wiliam dussan " sqref="M599" xr:uid="{00000000-0002-0000-0800-00001E000000}"/>
    <dataValidation type="decimal" operator="greaterThanOrEqual" allowBlank="1" showInputMessage="1" showErrorMessage="1" error="Valor debe ser mayor o igual que 0" prompt="Digite el valor si no utiliza el anexo respectivo" sqref="M713:M714" xr:uid="{00000000-0002-0000-0800-00001F000000}">
      <formula1>0</formula1>
    </dataValidation>
    <dataValidation operator="greaterThanOrEqual" allowBlank="1" showInputMessage="1" showErrorMessage="1" error="Valor debe ser mayor o igual que 0" prompt="Esta información se alimenta automáticamente diligenciando el anexo de rentas gravables.  ingresando por el boton del menú principal de OTROS ANEXOS" sqref="D748:M751" xr:uid="{00000000-0002-0000-0800-000020000000}"/>
    <dataValidation allowBlank="1" showInputMessage="1" showErrorMessage="1" prompt="reporte el valor total al que tiene derecho a utilizar en la liquidación de su renta líquida, de acuerdo con las normas fiscales vigentes" sqref="L600:L640" xr:uid="{00000000-0002-0000-0800-000021000000}"/>
    <dataValidation operator="greaterThanOrEqual" allowBlank="1" showInputMessage="1" showErrorMessage="1" error="Valor debe ser mayor o igual que 0" prompt="Reporte la cifra realmente aplicada en la depuración de su renta líquida. Este valor puede ser inferior al dato reportado en la casilla anterior por la aplicación de alguna de las limitaciones previstas en el ET. por defecto se deja amarrada. " sqref="M600:M603 M605:M640" xr:uid="{00000000-0002-0000-0800-000022000000}"/>
    <dataValidation allowBlank="1" showInputMessage="1" showErrorMessage="1" prompt="Este valor lo calcula automáticamente el prevalidador oficial de la DIAN cuando se digiten los datos en el." sqref="M756" xr:uid="{00000000-0002-0000-0800-000023000000}"/>
    <dataValidation type="decimal" operator="greaterThanOrEqual" allowBlank="1" showInputMessage="1" showErrorMessage="1" error="Valor debe ser mayor o igual que 0" prompt="Se alimenta de las filas de excel 113 y 118" sqref="M727" xr:uid="{00000000-0002-0000-0800-000025000000}">
      <formula1>0</formula1>
    </dataValidation>
    <dataValidation operator="greaterThanOrEqual" allowBlank="1" showInputMessage="1" showErrorMessage="1" error="Valor debe ser mayor o igual que 0" prompt="Amarrada directamente a las celdas que tienen que ver con recuperación de deducciones de la fila 113 de excel" sqref="M604" xr:uid="{00000000-0002-0000-0800-000026000000}"/>
    <dataValidation allowBlank="1" showInputMessage="1" showErrorMessage="1" prompt="Se alimenta de la fila 113" sqref="I727" xr:uid="{00000000-0002-0000-0800-000027000000}"/>
    <dataValidation allowBlank="1" showInputMessage="1" showErrorMessage="1" prompt="Se agrupan:_x000a_+ Obligaciones financieras y cuentas por pagar _x000a_+Otros pasivos financieros_x000a_+Arrendamientos por pagar" sqref="C953" xr:uid="{00000000-0002-0000-0800-000029000000}"/>
    <dataValidation allowBlank="1" showInputMessage="1" showErrorMessage="1" prompt="Incluye:  Cuentas comerciales por cobrar y otras cuentas por cobrar" sqref="C946" xr:uid="{00000000-0002-0000-0800-00002A000000}"/>
    <dataValidation allowBlank="1" showInputMessage="1" showErrorMessage="1" prompt="Es el caso de activos diferidos que en contabilidad se reclasificaron a resultados  en la transición a NIF  (Ejemplo Preoperativos, Inversion en investigación e imnovación)" sqref="C960 G960" xr:uid="{00000000-0002-0000-0800-00002B000000}"/>
    <dataValidation allowBlank="1" showInputMessage="1" showErrorMessage="1" prompt="Este rubo nunca puede generar pasivo por impuesto diferido_x000a_" sqref="C979 F979:G979" xr:uid="{00000000-0002-0000-0800-00002C000000}"/>
    <dataValidation allowBlank="1" showInputMessage="1" showErrorMessage="1" prompt="Incluye:_x000a__x000a_+Pasivos por ingresos diferidos_x000a_+Otros pasivos" sqref="C957" xr:uid="{00000000-0002-0000-0800-00002D000000}"/>
    <dataValidation allowBlank="1" showInputMessage="1" showErrorMessage="1" prompt="El valor sale del anexo de compensaciones.  _x000a_Total pérdidas y excesos de RP menos lo compensado en el año actual" sqref="C959" xr:uid="{00000000-0002-0000-0800-00002E000000}"/>
    <dataValidation allowBlank="1" showInputMessage="1" showErrorMessage="1" prompt="Digite el saldo del impuesto diferido por cada rubro a diciembre del año gravable anterior" sqref="K944:K961 K964:K981" xr:uid="{00000000-0002-0000-0800-00002F000000}"/>
    <dataValidation allowBlank="1" showInputMessage="1" showErrorMessage="1" prompt="Esta base fiscal está amarrada al valor patrimonial, pero hay alguno tipos de activos cuya base fiscal difiere, en esos casos modifique el valor" sqref="G941:G942" xr:uid="{00000000-0002-0000-0800-000030000000}"/>
    <dataValidation allowBlank="1" showInputMessage="1" showErrorMessage="1" prompt="Incluye:_x000a_Gastos pagados por anticipado_x000a_Activos por impuestos corrientes_x000a_Otros activos_x000a__x000a_y resta (-)_x000a__x000a_Activos reconocidos solo para efectos fiscales que se ubican en la fila anterior." sqref="C961 G961" xr:uid="{00000000-0002-0000-0800-000031000000}"/>
    <dataValidation allowBlank="1" showInputMessage="1" showErrorMessage="1" prompt="Digite la diferencia permanente. El aplicativo disminuirá este valor de la columna de diferencia temporaria.   El valor digitado no puede ser mayor al valor de la diferencia temporaria" sqref="I944:I961 I964:I981" xr:uid="{00000000-0002-0000-0800-000033000000}"/>
    <dataValidation allowBlank="1" showInputMessage="1" showErrorMessage="1" prompt="El aplicativo calcula el impuesto diferido sobre la diferencia temporaria y  de acuerdo a la tarifa seleccionada por el contribuyente " sqref="J944 J946:J947 J949 J952:J961 J964 J966:J967 J969 J972:J981" xr:uid="{00000000-0002-0000-0800-000034000000}"/>
    <dataValidation allowBlank="1" showInputMessage="1" showErrorMessage="1" prompt="El aplicativo calcula el impuesto diferido de este rubro al 10% como ganancia ocasional, pero el usuario podrá hacer la distribución de lo que va por la tarifa general (Caso de recuperación deducción por depreciación y de activos de menos de 2 años)" sqref="J965 J968 J970:J971 J945 J950:J951 J948" xr:uid="{00000000-0002-0000-0800-000035000000}"/>
    <dataValidation allowBlank="1" showInputMessage="1" showErrorMessage="1" prompt="El valor sale del anexo de compensaciones.  _x000a_Total pérdidas y excesos de RP menos lo compensado en el año actual mas las pérdidas del año gravable._x000a__x000a_En esta celda se puede digitar directamente el valor si no se diligencia esos anexos." sqref="G959" xr:uid="{00000000-0002-0000-0800-000038000000}"/>
    <dataValidation allowBlank="1" showInputMessage="1" showErrorMessage="1" prompt="Registre los avances efectuados de los cuales se espera recibir beneficios o contraprestación futura ejemplo: anticipos a proveedores, a contratistas ente otros" sqref="G44 D44" xr:uid="{00000000-0002-0000-0800-000039000000}"/>
    <dataValidation allowBlank="1" showInputMessage="1" showErrorMessage="1" prompt="Los activos que por efecto de la adopción por primera vez del marco técnico normativo contable ya no sean reconocidos como tales, deberán mantener el valor patrimonial declarado fiscalmente en el año o periodo gravable anterior." sqref="F137:G137 D137" xr:uid="{00000000-0002-0000-0800-00003A000000}"/>
    <dataValidation allowBlank="1" showInputMessage="1" showErrorMessage="1" prompt="Registre el saldo de las cuentas que representan obligaciones por concepto de arrendamientos por pagar determinados de acuerdo con la técnica contable (NIC 17 y sección 20 NIIF para Pymes)" sqref="D154:D156 F154:G156" xr:uid="{00000000-0002-0000-0800-00003B000000}"/>
    <dataValidation allowBlank="1" showInputMessage="1" showErrorMessage="1" prompt="Incluya lo referente a contratos celebrados por la entidad en operaciones con derivados de Inversión y de cobertura, tales como Forward, Carrusel, Futuros, Swaps y Opciones." sqref="D159 F159:G159" xr:uid="{00000000-0002-0000-0800-00003C000000}"/>
    <dataValidation allowBlank="1" showInputMessage="1" showErrorMessage="1" prompt="registre el valor contable relacionado con el instrumento financiero correspondiente a los contratos de fiducia mercantil suscritos." sqref="D161 F161:G161" xr:uid="{00000000-0002-0000-0800-00003D000000}"/>
    <dataValidation allowBlank="1" showInputMessage="1" showErrorMessage="1" prompt="Registre el saldo de los valores que se han provisionado por concepto de obligaciones sobre los que existe incertidumbre acerca de su cuantía o vencimiento de acuerdo con lo previsto en la técnica contable (NIC 37 y/o sección 21 NIIF para Pymes." sqref="D174:D184 F174:G184" xr:uid="{00000000-0002-0000-0800-00003E000000}"/>
    <dataValidation allowBlank="1" showInputMessage="1" showErrorMessage="1" prompt="Registre el saldo de las obligaciones que tiene la empresa por ingresos recibidos en forma anticipada para prestar un servicio o realizar una venta en el futuro. ( Ver. Numeral 8 del artículo 28 E.T.)" sqref="F187:G187 D187" xr:uid="{00000000-0002-0000-0800-00003F000000}"/>
    <dataValidation allowBlank="1" showInputMessage="1" showErrorMessage="1" prompt="Registre el saldo de los excedentes pendientes de reinvertir por parte de las entidades sin ánimo de lucro pertenecientes al Régimen Tributario Especial." sqref="D195 F195:G195" xr:uid="{00000000-0002-0000-0800-000040000000}"/>
    <dataValidation allowBlank="1" showInputMessage="1" showErrorMessage="1" prompt="Registre el saldo de los fondos constituidos por parte de las empresas del sector cooperativo y que al cierre del periodo se encuentran pendientes de ejecución." sqref="D196 F196:G196" xr:uid="{00000000-0002-0000-0800-000041000000}"/>
    <dataValidation allowBlank="1" showInputMessage="1" showErrorMessage="1" prompt="corresponde a los pasivos que no tienen reconocimiento contable, pero que por efectos de las normas fiscales deben ser reconocidos (numeral 2 del artículo 289 E.T.)." sqref="D198 F198:J198" xr:uid="{00000000-0002-0000-0800-000042000000}"/>
    <dataValidation allowBlank="1" showInputMessage="1" showErrorMessage="1" prompt="Registre el valor de los intereses implícitos que se van a reflejar como ingreso financiero en el estado de resultados de períodos futuros." sqref="H242 D242:E242" xr:uid="{00000000-0002-0000-0800-000043000000}"/>
    <dataValidation allowBlank="1" showInputMessage="1" showErrorMessage="1" prompt="Registre el valor financiero y fiscal de los activos que forman parte de los encargos fiduciarios en los cuales actúa en calidad de fideicomitente o beneficiario. (Datos suministrados por los fiduciarios) art 271-1 y 102 ET" sqref="H243 D243:E243" xr:uid="{00000000-0002-0000-0800-000044000000}"/>
    <dataValidation allowBlank="1" showInputMessage="1" showErrorMessage="1" prompt="Registre el valor de los intereses implícitos que se van a reflejar como gastos financieros en el estado de resultados de períodos futuros." sqref="G247:H247 D247" xr:uid="{00000000-0002-0000-0800-000045000000}"/>
    <dataValidation allowBlank="1" showInputMessage="1" showErrorMessage="1" prompt="Registre el valor financiero y fiscal de los pasivos que forman parte de los encargos fiduciarios en los cuales actúa en calidad de fideicomitente o beneficiario. Lo anterior con base en los datos suministrados por los fiduciarios. Art 271-1 y 102 ET" sqref="G248:H248 D248" xr:uid="{00000000-0002-0000-0800-000046000000}"/>
    <dataValidation allowBlank="1" showInputMessage="1" showErrorMessage="1" prompt="Registre el valor de los dividendos o participaciones decretados en el periodo,  a título de gravados, en aplicación de las reglas previstas en el artículo 49 del Estatuto Tributario" sqref="H249 D249:E249" xr:uid="{00000000-0002-0000-0800-000047000000}"/>
    <dataValidation allowBlank="1" showInputMessage="1" showErrorMessage="1" prompt="Registre el valor de los dividendos o participaciones decretados en el periodo,  a título de  no gravados, en aplicación de las reglas previstas en el artículo 49 del Estatuto Tributario" sqref="H250 D250:E250" xr:uid="{00000000-0002-0000-0800-000048000000}"/>
    <dataValidation allowBlank="1" showInputMessage="1" showErrorMessage="1" prompt="Registre el valor de los dividendos o participaciones pagados o abonados en calidad de exigibles en el periodo,  a título de gravados  Art 49 ET" sqref="H251 D251:E251" xr:uid="{00000000-0002-0000-0800-000049000000}"/>
    <dataValidation allowBlank="1" showInputMessage="1" showErrorMessage="1" prompt="Registre el valor de los dividendos o participaciones pagados o abonados en calidad de exigibles en el periodo, a título de  no gravados. Art 49 ET" sqref="H252 D252:E252" xr:uid="{00000000-0002-0000-0800-00004A000000}"/>
    <dataValidation allowBlank="1" showInputMessage="1" showErrorMessage="1" prompt="Si la entidad realiza cierres contables para períodos menores a un año, reporte en esta casilla el valor de los dividendos distribuidos, abonados en cuenta en calidad de exigibles, con cargo a resultados del mismo período" sqref="H253 D253:E253" xr:uid="{00000000-0002-0000-0800-00004B000000}"/>
    <dataValidation allowBlank="1" showInputMessage="1" showErrorMessage="1" prompt="Incluya el valor correspondiente, registrado contablemente como menor valor del ingreso en el período gravable, junto con los correspondientes ajustes (disminuciones e incrementos) para llegar a la base fiscal." sqref="D285 D286:E288 F285:L285 G286:G288" xr:uid="{00000000-0002-0000-0800-00004C000000}"/>
    <dataValidation allowBlank="1" showInputMessage="1" showErrorMessage="1" prompt="Intereses – sector financiero fila exclusiva para los contribuyentes y entidades pertenecientes al sector financiero, vigiladas por la Superintendencia Financiera de Colombia." sqref="D291 F291:G291" xr:uid="{00000000-0002-0000-0800-00004D000000}"/>
    <dataValidation allowBlank="1" showInputMessage="1" showErrorMessage="1" prompt="Fila exclusiva para los contribuyentes no pertenecientes al sector financiero. Este renglón incluye los ingresos financieros relacionados con las acciones preferentes que reúnan las condiciones del parágrafo 1 del artículo 33-3 del Estatuto Tributario." sqref="D292 F292:G292" xr:uid="{00000000-0002-0000-0800-00004E000000}"/>
    <dataValidation allowBlank="1" showInputMessage="1" showErrorMessage="1" prompt="Corresponde a los ingresos financieros obtenidos en el período gravable relacionados con transacciones en las que se proporciona al cliente o entidad un beneficio significativo implícito de financiación._x000a_Este rubro no tendrá efectos fiscales, por cuanto" sqref="D294 F294:G294" xr:uid="{00000000-0002-0000-0800-00004F000000}"/>
    <dataValidation allowBlank="1" showInputMessage="1" showErrorMessage="1" prompt="Artículo 288 del Estatuto Tributario, la diferencia en cambio tendrá efecto fiscal solamente en la enajenación o abono en el caso de los activos, o en la liquidación o pago parcial en el caso de los pasivos" sqref="D295 F295:G295" xr:uid="{00000000-0002-0000-0800-000050000000}"/>
    <dataValidation allowBlank="1" showInputMessage="1" showErrorMessage="1" prompt="En el rubro otros ingresos financieros, registre aquellos conceptos a que haya lugar y que no se hayan registrado previamente." sqref="D296 F296:G296" xr:uid="{00000000-0002-0000-0800-000051000000}"/>
    <dataValidation allowBlank="1" showInputMessage="1" showErrorMessage="1" prompt="De conformidad con el numeral 4 del artículo 28 del Estatuto Tributario, los ingresos devengados en la aplicación del método de participación patrimonial no serán objeto del impuesto de renta y complementario" sqref="F298:G298 D298" xr:uid="{00000000-0002-0000-0800-000052000000}"/>
    <dataValidation allowBlank="1" showInputMessage="1" showErrorMessage="1" prompt="Según el numeral 5 del artículo 28 del Estatuto Tributario, los ingresos por cambios en el valor razonable “…no serán objeto del Impuesto sobre la Renta y Complementarios, sino hasta el momento de su enajenación o liquidación, lo que suceda primero" sqref="F299:G299 D299" xr:uid="{00000000-0002-0000-0800-000053000000}"/>
    <dataValidation allowBlank="1" showInputMessage="1" showErrorMessage="1" prompt="De conformidad con el numeral 5 del artículo 28 del Estatuto Tributario, estos ingresos “…no serán objeto del Impuesto sobre la Renta y Complementarios, sino hasta el momento de su enajenación o liquidación, lo que suceda primero…”" sqref="D309:D313 F309:G313" xr:uid="{00000000-0002-0000-0800-000054000000}"/>
    <dataValidation allowBlank="1" showInputMessage="1" showErrorMessage="1" prompt="Reporte los ingresos registrados en la contabilidad por la reversión del deterioro acumulado de los activos. (NIC 36). El numeral 7 del artículo 28 ET indica que tendrá efecto  fiscal si generó deducción en períodos anteriores)" sqref="D332:G344" xr:uid="{00000000-0002-0000-0800-000055000000}"/>
    <dataValidation allowBlank="1" showInputMessage="1" showErrorMessage="1" prompt="Reporte los ingresos registrados  por la reversión de provisiones relacionadas con pasivos de monto o fecha inciertos. El numeral 6 del artículo 28 del ET, indica que tendrá incidencia fiscal si dichas provisiones generaron deduc. en periodos anteriores" sqref="D345:G345 F346:G352 D346:D352" xr:uid="{00000000-0002-0000-0800-000056000000}"/>
    <dataValidation allowBlank="1" showInputMessage="1" showErrorMessage="1" prompt="Reporte los ingresos registrados en la contabilidad por la reversión de pasivos por beneficios a los empleados, reconocidos conforme a los marcos técnicos normativos contables (NIC 19, sección 28 NIIF para Pymes)" sqref="D353:G353 F354:G357 D354:D357" xr:uid="{00000000-0002-0000-0800-000057000000}"/>
    <dataValidation allowBlank="1" showInputMessage="1" showErrorMessage="1" prompt="hace referencia a los ingresos obtenidos por indemnizaciones distintas a las compañías de seguros" sqref="D362 F362:G362" xr:uid="{00000000-0002-0000-0800-000058000000}"/>
    <dataValidation allowBlank="1" showInputMessage="1" showErrorMessage="1" prompt="reporte en este renglón los ingresos por reversiones o recuperaciones con incidencia contable y fiscal." sqref="F363:G363 D363" xr:uid="{00000000-0002-0000-0800-000059000000}"/>
    <dataValidation allowBlank="1" showInputMessage="1" showErrorMessage="1" prompt="Reporte en esta fila el valor fiscal de los intereses por las deudas de que trata el artículo 35 del Estatuto Tributario. El valor sale automaticamente del anexo de intereses presuntivos del aplicativo business Tax" sqref="G369 D369" xr:uid="{00000000-0002-0000-0800-00005A000000}"/>
    <dataValidation allowBlank="1" showInputMessage="1" showErrorMessage="1" prompt="Originado en la aplicación del Régimen PT a las operaciones económicas realizadas con vinculados económicos o con personas, sociedades, entidades o empresas ubicadas, residentes o domiciliadas en jurisdicciones no cooperantes o de baja o nula imposición " sqref="G370 D370" xr:uid="{00000000-0002-0000-0800-00005B000000}"/>
    <dataValidation allowBlank="1" showInputMessage="1" showErrorMessage="1" prompt="Renglón para otros ingresos no registrados en renglones anteriores y con incidencia solamente fiscal." sqref="G371 D371" xr:uid="{00000000-0002-0000-0800-00005C000000}"/>
    <dataValidation allowBlank="1" showInputMessage="1" showErrorMessage="1" prompt="Recupración de depreciación en venta de activos fijos de mas de dos años,  recuperación deterioro de cartera,  recuperació calculo actuarial." sqref="G368 D368" xr:uid="{00000000-0002-0000-0800-00005D000000}"/>
    <dataValidation allowBlank="1" showInputMessage="1" showErrorMessage="1" prompt="En el evento en que la sociedad utilice el sistema de inventario permanente, diligencie el dato en esta fila." sqref="F376:G376 D376" xr:uid="{00000000-0002-0000-0800-00005E000000}"/>
    <dataValidation allowBlank="1" showInputMessage="1" showErrorMessage="1" prompt="Si utiliza otros sistemas de determinación del costo de ventas, diferentes a los anteriores, diligencie este renglón" sqref="F390:G390 D390" xr:uid="{00000000-0002-0000-0800-00005F000000}"/>
    <dataValidation allowBlank="1" showInputMessage="1" showErrorMessage="1" prompt="Solo tiene efecto fiscal" sqref="F434:G434 D434" xr:uid="{00000000-0002-0000-0800-000060000000}"/>
    <dataValidation allowBlank="1" showInputMessage="1" showErrorMessage="1" prompt="Se refiere a los costos directamente atribuibles a la compra, emisión o disposición de un activo o pasivo financiero" sqref="D551 F551:G551" xr:uid="{00000000-0002-0000-0800-000061000000}"/>
    <dataValidation allowBlank="1" showInputMessage="1" showErrorMessage="1" prompt="Registre el valor de otros gastos incurridos relacionados con transacciones financieras, tales como comisiones bancarias." sqref="F556:G556 D556" xr:uid="{00000000-0002-0000-0800-000062000000}"/>
    <dataValidation allowBlank="1" showInputMessage="1" showErrorMessage="1" prompt="Gastos devengados en el período gravable relacionados con transacciones en las que se ha proporcionado al cliente o entidad un beneficio significativo implícito de financiación. NIC 18, NIIF 15, sección 23 de las NIIF para Pymes.  No tiene efecto fiscal" sqref="F553:G553 D553" xr:uid="{00000000-0002-0000-0800-000063000000}"/>
    <dataValidation allowBlank="1" showInputMessage="1" showErrorMessage="1" prompt="Tenga presente el tratamiento previsto por el 288 del E.T. para la deducibilidad de la diferencia en cambio y el régimen de transición a que hace referencia el artículo 291 E.T." sqref="F552:G552 D552" xr:uid="{00000000-0002-0000-0800-000064000000}"/>
    <dataValidation allowBlank="1" showInputMessage="1" showErrorMessage="1" prompt="Estas pérdidas no tienen incidencia fiscal, conforme lo señalado por el literal b del numeral 1 y el literal a del numeral 2 del artículo 105 del E.T." sqref="F558:G559 D558:D559" xr:uid="{00000000-0002-0000-0800-000065000000}"/>
    <dataValidation allowBlank="1" showInputMessage="1" showErrorMessage="1" prompt="Estas pérdidas no tienen incidencia fiscal, conforme lo señalado por el literal b del numeral 1 y el literal a del numeral 1 del artículo 105 del E.T." sqref="F561:G565 D561:D565" xr:uid="{00000000-0002-0000-0800-000066000000}"/>
    <dataValidation allowBlank="1" showInputMessage="1" showErrorMessage="1" prompt="Para efectos fiscales tenga presente que el costo fiscal se determina con base en las reglas previstas en el artículo 69 y subsiguientes del E.T. y tenga presente las limitaciones previstas en los artículos 151 y 152 E.T." sqref="F567:G575 D567:D575" xr:uid="{00000000-0002-0000-0800-000067000000}"/>
    <dataValidation allowBlank="1" showInputMessage="1" showErrorMessage="1" prompt="Estimaciones sobre las que existe incertidumbre acerca de su cuantía o su vencimiento y que se han determinado de acuerdo con la técnica contable (NIC 37 y/o sección 21 NIIF Pymes) tales como garantías, contratos onerosos, litigios y otras contingencias" sqref="F577:G583 D577:D583" xr:uid="{00000000-0002-0000-0800-000068000000}"/>
    <dataValidation allowBlank="1" showInputMessage="1" showErrorMessage="1" prompt="renglón para el reporte de los gastos y deducciones no registrados en renglones anteriores y con incidencia solamente fiscal." sqref="F589:G589 D589" xr:uid="{00000000-0002-0000-0800-000069000000}"/>
    <dataValidation allowBlank="1" showInputMessage="1" showErrorMessage="1" prompt="Debe corresponder al valor llevado a la declaración de renta y complementario del período, así como al reportado en la información exógena (formato 2275), de donde se tomará el detalle. Este  dato es automático" sqref="F598:H598 D598" xr:uid="{00000000-0002-0000-0800-00006A000000}"/>
    <dataValidation allowBlank="1" showInputMessage="1" showErrorMessage="1" prompt="Se descuenta para el cálculo de la renta líquida debido a que se declara en la sección ganancia ocasional. Viene amarrado " sqref="F599:H599 D599" xr:uid="{00000000-0002-0000-0800-00006B000000}"/>
    <dataValidation allowBlank="1" showInputMessage="1" showErrorMessage="1" prompt="Se ajusta el resultado contable con este concepto, debido a que no tiene incidencia fiscal de conformidad con el numeral 4 del artículo 28 E.T." sqref="F600:H600 D600" xr:uid="{00000000-0002-0000-0800-00006C000000}"/>
    <dataValidation allowBlank="1" showInputMessage="1" showErrorMessage="1" promptTitle="Art 771-2 ET" prompt="costos, gastos y deducciones devengados en el período respecto de los cuales no se dispone del soporte correspondiente (factura o documento equivalente; documentos o soportes que acrediten la prestación del servicio o venta del bien en el año o período. " sqref="H611 D611" xr:uid="{00000000-0002-0000-0800-00006D000000}"/>
    <dataValidation allowBlank="1" showInputMessage="1" showErrorMessage="1" prompt="En este renglón, reporte las diferencias temporarias que surjan debido a las diferencias entre el tratamiento contable y fiscal de los contratos de concesión y las asociaciones público-privadas (art. 32 del Estatuto Tributario)" sqref="F673:H673 D673" xr:uid="{00000000-0002-0000-0800-00006E000000}"/>
    <dataValidation allowBlank="1" showInputMessage="1" showErrorMessage="1" prompt="Se refiere a las rentas que en el período dieron origen o “derecho a cobro”, pero que no fueron contabilizadas por no cumplir los requisitos para ello (parágrafo 1 del artículo 28 del Estatuto tributario" sqref="F678:H678 D678" xr:uid="{00000000-0002-0000-0800-00006F000000}"/>
    <dataValidation allowBlank="1" showInputMessage="1" showErrorMessage="1" prompt="La información reportada en este apartado no debe ser incluida en los apartados anteriores relacionados con Ingresos, costos y deducciones." sqref="D724:H725 C716 B717:B723 D716:E723 G716:H723" xr:uid="{00000000-0002-0000-0800-000070000000}"/>
    <dataValidation allowBlank="1" showInputMessage="1" showErrorMessage="1" prompt="Se incluyen por parte nuestra basados en formato 110" sqref="D790:H792" xr:uid="{00000000-0002-0000-0800-000071000000}"/>
    <dataValidation allowBlank="1" showInputMessage="1" showErrorMessage="1" prompt="Sólo para entidades financieras" sqref="D793:H793" xr:uid="{00000000-0002-0000-0800-000072000000}"/>
    <dataValidation allowBlank="1" showInputMessage="1" showErrorMessage="1" prompt="Difrencia.. no puede existir dado que el prevalidador de la DIAN exige que esto cuadre." sqref="F984 G983" xr:uid="{00000000-0002-0000-0800-000073000000}"/>
    <dataValidation allowBlank="1" showInputMessage="1" showErrorMessage="1" prompt="Para propósito fiscal, este valor debe ser desagregado en el rubro que corresponda (venta de bienes, prestación de servicios, etc.), es decir, que se debe mostrar por separado los respectivos ingresos, costos y gastos." sqref="D365:G365" xr:uid="{00000000-0002-0000-0800-000011000000}"/>
    <dataValidation allowBlank="1" showInputMessage="1" showErrorMessage="1" prompt="Registre según corresponda los ingresos susceptibles de constituir ganancia ocasional, así como los costos por ganancias ocasionales en cuanto sea aplicable, de conformidad con lo establecido en el Libro Primero, Título III del E.T." sqref="D757:H757" xr:uid="{00000000-0002-0000-0800-00001C000000}"/>
  </dataValidation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H38"/>
  <sheetViews>
    <sheetView showGridLines="0" topLeftCell="A16" zoomScaleNormal="100" workbookViewId="0">
      <selection activeCell="F38" sqref="F38"/>
    </sheetView>
  </sheetViews>
  <sheetFormatPr baseColWidth="10" defaultRowHeight="12.75" x14ac:dyDescent="0.2"/>
  <cols>
    <col min="1" max="1" width="11.42578125" style="565"/>
    <col min="2" max="2" width="17.140625" style="565" bestFit="1" customWidth="1"/>
    <col min="3" max="4" width="12.85546875" style="565" customWidth="1"/>
    <col min="5" max="5" width="13.7109375" style="565" customWidth="1"/>
    <col min="6" max="6" width="12.85546875" style="565" customWidth="1"/>
    <col min="7" max="7" width="15.5703125" style="565" customWidth="1"/>
    <col min="8" max="8" width="16.5703125" style="565" customWidth="1"/>
    <col min="9" max="16384" width="11.42578125" style="565"/>
  </cols>
  <sheetData>
    <row r="2" spans="1:8" x14ac:dyDescent="0.2">
      <c r="C2" s="1566" t="s">
        <v>371</v>
      </c>
      <c r="D2" s="1567"/>
      <c r="E2" s="1567"/>
      <c r="F2" s="1568" t="s">
        <v>372</v>
      </c>
      <c r="G2" s="1568"/>
      <c r="H2" s="569" t="s">
        <v>1246</v>
      </c>
    </row>
    <row r="3" spans="1:8" x14ac:dyDescent="0.2">
      <c r="A3" s="240" t="s">
        <v>1013</v>
      </c>
      <c r="B3" s="240" t="s">
        <v>21</v>
      </c>
      <c r="C3" s="240" t="s">
        <v>1235</v>
      </c>
      <c r="D3" s="240" t="s">
        <v>1236</v>
      </c>
      <c r="E3" s="240" t="s">
        <v>1237</v>
      </c>
      <c r="F3" s="240" t="s">
        <v>1238</v>
      </c>
      <c r="G3" s="240" t="s">
        <v>1245</v>
      </c>
    </row>
    <row r="4" spans="1:8" x14ac:dyDescent="0.2">
      <c r="A4" s="565" t="s">
        <v>2119</v>
      </c>
      <c r="B4" s="565" t="s">
        <v>239</v>
      </c>
      <c r="C4" s="565">
        <v>60807000</v>
      </c>
      <c r="D4" s="567">
        <v>3432.5</v>
      </c>
      <c r="E4" s="567">
        <f>+C4/D4</f>
        <v>17715.076474872541</v>
      </c>
      <c r="F4" s="240" t="s">
        <v>1244</v>
      </c>
      <c r="G4" s="565">
        <f>+G13</f>
        <v>60923132.55644574</v>
      </c>
      <c r="H4" s="570">
        <f>+C4-G4</f>
        <v>-116132.55644574016</v>
      </c>
    </row>
    <row r="6" spans="1:8" x14ac:dyDescent="0.2">
      <c r="A6" s="240" t="s">
        <v>1239</v>
      </c>
    </row>
    <row r="7" spans="1:8" x14ac:dyDescent="0.2">
      <c r="A7" s="240" t="s">
        <v>1240</v>
      </c>
      <c r="C7" s="240" t="s">
        <v>1241</v>
      </c>
    </row>
    <row r="8" spans="1:8" x14ac:dyDescent="0.2">
      <c r="G8" s="240" t="s">
        <v>1243</v>
      </c>
      <c r="H8" s="565">
        <f>+E4</f>
        <v>17715.076474872541</v>
      </c>
    </row>
    <row r="9" spans="1:8" x14ac:dyDescent="0.2">
      <c r="A9" s="240" t="s">
        <v>1242</v>
      </c>
      <c r="B9" s="240" t="s">
        <v>868</v>
      </c>
      <c r="C9" s="240" t="s">
        <v>110</v>
      </c>
    </row>
    <row r="10" spans="1:8" x14ac:dyDescent="0.2">
      <c r="A10" s="568">
        <v>43983</v>
      </c>
      <c r="B10" s="565">
        <v>12000</v>
      </c>
      <c r="C10" s="565">
        <v>3564</v>
      </c>
      <c r="D10" s="566">
        <f>+H8-D11-D12</f>
        <v>1915.0764748725414</v>
      </c>
      <c r="G10" s="565">
        <f>+D10*C10</f>
        <v>6825332.5564457374</v>
      </c>
    </row>
    <row r="11" spans="1:8" x14ac:dyDescent="0.2">
      <c r="A11" s="568">
        <v>42248</v>
      </c>
      <c r="B11" s="565">
        <v>9600</v>
      </c>
      <c r="C11" s="565">
        <v>3254</v>
      </c>
      <c r="D11" s="566">
        <f>+B11</f>
        <v>9600</v>
      </c>
      <c r="G11" s="565">
        <f>+D11*C11</f>
        <v>31238400</v>
      </c>
    </row>
    <row r="12" spans="1:8" x14ac:dyDescent="0.2">
      <c r="A12" s="568">
        <v>37956</v>
      </c>
      <c r="B12" s="571">
        <v>6200</v>
      </c>
      <c r="C12" s="565">
        <v>3687</v>
      </c>
      <c r="D12" s="572">
        <f>+B12</f>
        <v>6200</v>
      </c>
      <c r="G12" s="571">
        <f>+D12*C12</f>
        <v>22859400</v>
      </c>
    </row>
    <row r="13" spans="1:8" x14ac:dyDescent="0.2">
      <c r="B13" s="339">
        <f>SUM(B10:B12)</f>
        <v>27800</v>
      </c>
      <c r="D13" s="339">
        <f>SUM(D10:D12)</f>
        <v>17715.076474872541</v>
      </c>
      <c r="G13" s="339">
        <f>SUM(G10:G12)</f>
        <v>60923132.55644574</v>
      </c>
    </row>
    <row r="14" spans="1:8" x14ac:dyDescent="0.2">
      <c r="B14" s="339"/>
      <c r="D14" s="339"/>
      <c r="G14" s="339"/>
    </row>
    <row r="15" spans="1:8" x14ac:dyDescent="0.2">
      <c r="B15" s="339"/>
      <c r="D15" s="339"/>
      <c r="G15" s="339"/>
    </row>
    <row r="16" spans="1:8" x14ac:dyDescent="0.2">
      <c r="A16" s="240" t="s">
        <v>1247</v>
      </c>
      <c r="B16" s="339"/>
      <c r="D16" s="339"/>
      <c r="G16" s="339"/>
    </row>
    <row r="17" spans="1:8" x14ac:dyDescent="0.2">
      <c r="B17" s="339"/>
      <c r="D17" s="339"/>
      <c r="G17" s="339"/>
    </row>
    <row r="18" spans="1:8" x14ac:dyDescent="0.2">
      <c r="A18" s="240" t="s">
        <v>1248</v>
      </c>
      <c r="B18" s="339"/>
      <c r="D18" s="570">
        <f>+H4</f>
        <v>-116132.55644574016</v>
      </c>
      <c r="G18" s="339"/>
    </row>
    <row r="19" spans="1:8" x14ac:dyDescent="0.2">
      <c r="A19" s="240" t="s">
        <v>1249</v>
      </c>
      <c r="B19" s="339"/>
      <c r="D19" s="574">
        <v>-50000</v>
      </c>
      <c r="E19" s="240" t="s">
        <v>1250</v>
      </c>
      <c r="G19" s="339"/>
    </row>
    <row r="20" spans="1:8" x14ac:dyDescent="0.2">
      <c r="B20" s="339" t="s">
        <v>1251</v>
      </c>
      <c r="D20" s="573">
        <f>+D18+D19</f>
        <v>-166132.55644574016</v>
      </c>
      <c r="G20" s="339"/>
    </row>
    <row r="22" spans="1:8" s="566" customFormat="1" x14ac:dyDescent="0.2"/>
    <row r="24" spans="1:8" x14ac:dyDescent="0.2">
      <c r="A24" s="240" t="s">
        <v>1252</v>
      </c>
    </row>
    <row r="25" spans="1:8" x14ac:dyDescent="0.2">
      <c r="C25" s="1569" t="s">
        <v>371</v>
      </c>
      <c r="D25" s="1570"/>
      <c r="E25" s="1570"/>
      <c r="F25" s="1569" t="s">
        <v>372</v>
      </c>
      <c r="G25" s="1570"/>
      <c r="H25" s="240" t="s">
        <v>1246</v>
      </c>
    </row>
    <row r="26" spans="1:8" ht="25.5" x14ac:dyDescent="0.2">
      <c r="A26" s="827" t="s">
        <v>1253</v>
      </c>
      <c r="B26" s="827" t="s">
        <v>1254</v>
      </c>
      <c r="C26" s="827" t="s">
        <v>1237</v>
      </c>
      <c r="D26" s="827" t="s">
        <v>1255</v>
      </c>
      <c r="E26" s="827" t="s">
        <v>1118</v>
      </c>
      <c r="F26" s="827" t="s">
        <v>1256</v>
      </c>
      <c r="G26" s="827" t="s">
        <v>1257</v>
      </c>
      <c r="H26" s="578"/>
    </row>
    <row r="27" spans="1:8" x14ac:dyDescent="0.2">
      <c r="A27" s="565">
        <v>435678</v>
      </c>
      <c r="B27" s="576">
        <v>44002</v>
      </c>
      <c r="C27" s="565">
        <v>87654</v>
      </c>
      <c r="D27" s="567">
        <v>3432.5</v>
      </c>
      <c r="E27" s="565">
        <f>+C27*D27</f>
        <v>300872355</v>
      </c>
      <c r="F27" s="567">
        <v>3760.22</v>
      </c>
      <c r="G27" s="565">
        <f>+F27*C27</f>
        <v>329598323.88</v>
      </c>
    </row>
    <row r="28" spans="1:8" x14ac:dyDescent="0.2">
      <c r="A28" s="565">
        <v>980987</v>
      </c>
      <c r="B28" s="577">
        <v>44150</v>
      </c>
      <c r="C28" s="565">
        <v>125098</v>
      </c>
      <c r="D28" s="567">
        <v>3432.5</v>
      </c>
      <c r="E28" s="565">
        <f>+C28*D28</f>
        <v>429398885</v>
      </c>
      <c r="F28" s="567">
        <v>3646.22</v>
      </c>
      <c r="G28" s="565">
        <f>+F28*C28</f>
        <v>456134829.56</v>
      </c>
    </row>
    <row r="29" spans="1:8" x14ac:dyDescent="0.2">
      <c r="E29" s="339">
        <f>SUM(E27:E28)</f>
        <v>730271240</v>
      </c>
      <c r="G29" s="339">
        <f>SUM(G27:G28)</f>
        <v>785733153.44000006</v>
      </c>
      <c r="H29" s="573">
        <f>+E29-G29</f>
        <v>-55461913.440000057</v>
      </c>
    </row>
    <row r="32" spans="1:8" x14ac:dyDescent="0.2">
      <c r="A32" s="240" t="s">
        <v>1247</v>
      </c>
      <c r="B32" s="339"/>
    </row>
    <row r="33" spans="1:6" x14ac:dyDescent="0.2">
      <c r="B33" s="339"/>
    </row>
    <row r="34" spans="1:6" x14ac:dyDescent="0.2">
      <c r="A34" s="240" t="s">
        <v>1248</v>
      </c>
      <c r="B34" s="339"/>
      <c r="E34" s="570">
        <f>+H29</f>
        <v>-55461913.440000057</v>
      </c>
    </row>
    <row r="35" spans="1:6" x14ac:dyDescent="0.2">
      <c r="A35" s="240" t="s">
        <v>1249</v>
      </c>
      <c r="B35" s="339"/>
      <c r="E35" s="570">
        <v>13149876</v>
      </c>
      <c r="F35" s="240" t="s">
        <v>1250</v>
      </c>
    </row>
    <row r="36" spans="1:6" x14ac:dyDescent="0.2">
      <c r="B36" s="339" t="s">
        <v>1251</v>
      </c>
      <c r="E36" s="573">
        <f>+E34+E35</f>
        <v>-42312037.440000057</v>
      </c>
    </row>
    <row r="37" spans="1:6" x14ac:dyDescent="0.2">
      <c r="E37" s="570"/>
    </row>
    <row r="38" spans="1:6" x14ac:dyDescent="0.2">
      <c r="E38" s="570"/>
    </row>
  </sheetData>
  <mergeCells count="4">
    <mergeCell ref="C2:E2"/>
    <mergeCell ref="F2:G2"/>
    <mergeCell ref="C25:E25"/>
    <mergeCell ref="F25:G2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A117"/>
  <sheetViews>
    <sheetView showGridLines="0" topLeftCell="A30" zoomScale="115" zoomScaleNormal="115" workbookViewId="0">
      <selection activeCell="D7" sqref="D7"/>
    </sheetView>
  </sheetViews>
  <sheetFormatPr baseColWidth="10" defaultRowHeight="12.75" x14ac:dyDescent="0.2"/>
  <cols>
    <col min="1" max="1" width="2.85546875" style="30" customWidth="1"/>
    <col min="2" max="2" width="33.28515625" style="120" customWidth="1"/>
    <col min="3" max="5" width="23.140625" style="34" customWidth="1"/>
    <col min="6" max="6" width="4.85546875" style="30" customWidth="1"/>
    <col min="7" max="8" width="23.140625" style="34" customWidth="1"/>
    <col min="9" max="16" width="11.42578125" style="84"/>
    <col min="17" max="17" width="15.42578125" style="85" customWidth="1"/>
    <col min="18" max="19" width="15.42578125" style="84" customWidth="1"/>
    <col min="20" max="16384" width="11.42578125" style="84"/>
  </cols>
  <sheetData>
    <row r="1" spans="1:23" x14ac:dyDescent="0.2">
      <c r="B1" s="1572" t="s">
        <v>425</v>
      </c>
      <c r="C1" s="1572"/>
      <c r="D1" s="1572"/>
      <c r="E1" s="1572"/>
      <c r="G1" s="83"/>
      <c r="H1" s="83"/>
    </row>
    <row r="2" spans="1:23" x14ac:dyDescent="0.2">
      <c r="B2" s="1572" t="str">
        <f>+'BP 010120x1'!B2</f>
        <v>Empresa LVG SAS</v>
      </c>
      <c r="C2" s="1572"/>
      <c r="D2" s="1572"/>
      <c r="E2" s="1572"/>
      <c r="G2" s="86"/>
      <c r="H2" s="83"/>
    </row>
    <row r="3" spans="1:23" x14ac:dyDescent="0.2">
      <c r="B3" s="1572" t="s">
        <v>2141</v>
      </c>
      <c r="C3" s="1572"/>
      <c r="D3" s="1572"/>
      <c r="E3" s="1572"/>
      <c r="G3" s="83"/>
      <c r="H3" s="83"/>
    </row>
    <row r="4" spans="1:23" x14ac:dyDescent="0.2">
      <c r="B4" s="123"/>
      <c r="C4" s="83"/>
      <c r="D4" s="83"/>
      <c r="E4" s="83"/>
      <c r="G4" s="83"/>
      <c r="H4" s="83"/>
    </row>
    <row r="5" spans="1:23" x14ac:dyDescent="0.2">
      <c r="C5" s="1571" t="s">
        <v>426</v>
      </c>
      <c r="D5" s="1571"/>
      <c r="E5" s="31" t="s">
        <v>427</v>
      </c>
      <c r="G5" s="31" t="s">
        <v>235</v>
      </c>
      <c r="H5" s="31" t="s">
        <v>235</v>
      </c>
    </row>
    <row r="6" spans="1:23" x14ac:dyDescent="0.2">
      <c r="C6" s="32" t="s">
        <v>2142</v>
      </c>
      <c r="D6" s="32" t="s">
        <v>2143</v>
      </c>
      <c r="E6" s="32" t="s">
        <v>2143</v>
      </c>
      <c r="G6" s="87" t="s">
        <v>2144</v>
      </c>
      <c r="H6" s="87" t="s">
        <v>2145</v>
      </c>
    </row>
    <row r="7" spans="1:23" x14ac:dyDescent="0.2">
      <c r="A7" s="33"/>
      <c r="C7" s="109"/>
      <c r="D7" s="109"/>
      <c r="E7" s="109"/>
      <c r="F7" s="110"/>
      <c r="G7" s="109"/>
      <c r="H7" s="109"/>
      <c r="I7" s="110"/>
    </row>
    <row r="8" spans="1:23" x14ac:dyDescent="0.2">
      <c r="B8" s="95" t="s">
        <v>1032</v>
      </c>
      <c r="C8" s="111">
        <f>+'Sumaria contabilidad'!C6+'Sumaria contabilidad'!C7+'Sumaria contabilidad'!C8+'Sumaria contabilidad'!C9</f>
        <v>8638117839</v>
      </c>
      <c r="D8" s="111">
        <f>+'Sumaria contabilidad'!D6+'Sumaria contabilidad'!D7+'Sumaria contabilidad'!D8+'Sumaria contabilidad'!D9</f>
        <v>4030980742</v>
      </c>
      <c r="E8" s="111">
        <f>+'Sumaria contabilidad'!E6+'Sumaria contabilidad'!E7+'Sumaria contabilidad'!E8+'Sumaria contabilidad'!E9</f>
        <v>1515485000</v>
      </c>
      <c r="F8" s="110"/>
      <c r="G8" s="111">
        <f>+C8-D8</f>
        <v>4607137097</v>
      </c>
      <c r="H8" s="111">
        <f>+D8-E8</f>
        <v>2515495742</v>
      </c>
      <c r="I8" s="110"/>
    </row>
    <row r="9" spans="1:23" x14ac:dyDescent="0.2">
      <c r="B9" s="95" t="s">
        <v>1033</v>
      </c>
      <c r="C9" s="111">
        <f>+'Sumaria contabilidad'!C17+'Sumaria contabilidad'!C23+'Sumaria contabilidad'!C24</f>
        <v>1321094359</v>
      </c>
      <c r="D9" s="111">
        <f>+'Sumaria contabilidad'!D17+'Sumaria contabilidad'!D23+'Sumaria contabilidad'!D24</f>
        <v>1341769444</v>
      </c>
      <c r="E9" s="111">
        <f>+'Sumaria contabilidad'!E17+'Sumaria contabilidad'!E23+'Sumaria contabilidad'!E24</f>
        <v>727732784</v>
      </c>
      <c r="F9" s="112"/>
      <c r="G9" s="111">
        <f>+C9-D9</f>
        <v>-20675085</v>
      </c>
      <c r="H9" s="111">
        <f>+D9-E9</f>
        <v>614036660</v>
      </c>
      <c r="I9" s="110"/>
    </row>
    <row r="10" spans="1:23" x14ac:dyDescent="0.2">
      <c r="B10" s="95" t="s">
        <v>1034</v>
      </c>
      <c r="C10" s="111">
        <f>+'Sumaria contabilidad'!C18+'Sumaria contabilidad'!C19+'Sumaria contabilidad'!C20+'Sumaria contabilidad'!C21+'Sumaria contabilidad'!C22+'Sumaria contabilidad'!C45+'Sumaria contabilidad'!C46+'Sumaria contabilidad'!C47</f>
        <v>140666000</v>
      </c>
      <c r="D10" s="111">
        <f>+'Sumaria contabilidad'!D18+'Sumaria contabilidad'!D19+'Sumaria contabilidad'!D20+'Sumaria contabilidad'!D21+'Sumaria contabilidad'!D22+'Sumaria contabilidad'!D45+'Sumaria contabilidad'!D46+'Sumaria contabilidad'!D47</f>
        <v>137828000</v>
      </c>
      <c r="E10" s="111">
        <f>+'Sumaria contabilidad'!E18+'Sumaria contabilidad'!E19+'Sumaria contabilidad'!E20+'Sumaria contabilidad'!E21+'Sumaria contabilidad'!E22+'Sumaria contabilidad'!E45+'Sumaria contabilidad'!E46+'Sumaria contabilidad'!E47</f>
        <v>179612000</v>
      </c>
      <c r="F10" s="112"/>
      <c r="G10" s="111">
        <f t="shared" ref="G10:H13" si="0">+C10-D10</f>
        <v>2838000</v>
      </c>
      <c r="H10" s="111">
        <f t="shared" si="0"/>
        <v>-41784000</v>
      </c>
      <c r="I10" s="110"/>
    </row>
    <row r="11" spans="1:23" x14ac:dyDescent="0.2">
      <c r="B11" s="95" t="s">
        <v>1035</v>
      </c>
      <c r="C11" s="111">
        <f>+'Sumaria contabilidad'!C25+'Sumaria contabilidad'!C26+'Sumaria contabilidad'!C29</f>
        <v>1161725000</v>
      </c>
      <c r="D11" s="111">
        <f>+'Sumaria contabilidad'!D25+'Sumaria contabilidad'!D26+'Sumaria contabilidad'!D29</f>
        <v>1125830000</v>
      </c>
      <c r="E11" s="111">
        <f>+'Sumaria contabilidad'!E25+'Sumaria contabilidad'!E26+'Sumaria contabilidad'!E29</f>
        <v>1217640000</v>
      </c>
      <c r="F11" s="112"/>
      <c r="G11" s="111">
        <f t="shared" si="0"/>
        <v>35895000</v>
      </c>
      <c r="H11" s="111">
        <f t="shared" si="0"/>
        <v>-91810000</v>
      </c>
      <c r="I11" s="110"/>
      <c r="U11" s="84" t="s">
        <v>941</v>
      </c>
      <c r="W11" s="84" t="s">
        <v>942</v>
      </c>
    </row>
    <row r="12" spans="1:23" x14ac:dyDescent="0.2">
      <c r="B12" s="95" t="s">
        <v>1036</v>
      </c>
      <c r="C12" s="111">
        <f>+'Sumaria contabilidad'!C27+'Sumaria contabilidad'!C28</f>
        <v>1881000000</v>
      </c>
      <c r="D12" s="111">
        <f>+'Sumaria contabilidad'!D27+'Sumaria contabilidad'!D28</f>
        <v>1699000000</v>
      </c>
      <c r="E12" s="111">
        <f>+'Sumaria contabilidad'!E27+'Sumaria contabilidad'!E28</f>
        <v>1086706000</v>
      </c>
      <c r="F12" s="112"/>
      <c r="G12" s="111">
        <f t="shared" si="0"/>
        <v>182000000</v>
      </c>
      <c r="H12" s="111">
        <f t="shared" si="0"/>
        <v>612294000</v>
      </c>
      <c r="I12" s="110"/>
      <c r="W12" s="84" t="s">
        <v>943</v>
      </c>
    </row>
    <row r="13" spans="1:23" s="120" customFormat="1" x14ac:dyDescent="0.2">
      <c r="A13" s="30"/>
      <c r="B13" s="95" t="s">
        <v>1037</v>
      </c>
      <c r="C13" s="176">
        <v>0</v>
      </c>
      <c r="D13" s="176">
        <v>0</v>
      </c>
      <c r="E13" s="176">
        <v>0</v>
      </c>
      <c r="F13" s="112"/>
      <c r="G13" s="176">
        <f t="shared" si="0"/>
        <v>0</v>
      </c>
      <c r="H13" s="176">
        <f t="shared" si="0"/>
        <v>0</v>
      </c>
      <c r="I13" s="110"/>
      <c r="Q13" s="1106"/>
      <c r="W13" s="120" t="s">
        <v>944</v>
      </c>
    </row>
    <row r="14" spans="1:23" x14ac:dyDescent="0.2">
      <c r="B14" s="95" t="s">
        <v>1038</v>
      </c>
      <c r="C14" s="111">
        <f>+'Sumaria contabilidad'!C10+'Sumaria contabilidad'!C11+'Sumaria contabilidad'!C12+'Sumaria contabilidad'!C13</f>
        <v>1333969890</v>
      </c>
      <c r="D14" s="111">
        <f>+'Sumaria contabilidad'!D10+'Sumaria contabilidad'!D11+'Sumaria contabilidad'!D12+'Sumaria contabilidad'!D13</f>
        <v>1462947980</v>
      </c>
      <c r="E14" s="111">
        <f>+'Sumaria contabilidad'!E10+'Sumaria contabilidad'!E11+'Sumaria contabilidad'!E12+'Sumaria contabilidad'!E13</f>
        <v>449067920</v>
      </c>
      <c r="F14" s="112"/>
      <c r="G14" s="111">
        <f t="shared" ref="G14:H16" si="1">+C14-D14</f>
        <v>-128978090</v>
      </c>
      <c r="H14" s="111">
        <f t="shared" si="1"/>
        <v>1013880060</v>
      </c>
      <c r="I14" s="110"/>
    </row>
    <row r="15" spans="1:23" x14ac:dyDescent="0.2">
      <c r="B15" s="95" t="s">
        <v>1039</v>
      </c>
      <c r="C15" s="111">
        <f>+'Sumaria contabilidad'!C15</f>
        <v>1200000000</v>
      </c>
      <c r="D15" s="111">
        <f>+'Sumaria contabilidad'!D15</f>
        <v>1200000000</v>
      </c>
      <c r="E15" s="111">
        <f>+'Sumaria contabilidad'!E15</f>
        <v>1200000000</v>
      </c>
      <c r="F15" s="112"/>
      <c r="G15" s="111">
        <f t="shared" si="1"/>
        <v>0</v>
      </c>
      <c r="H15" s="111">
        <f t="shared" si="1"/>
        <v>0</v>
      </c>
      <c r="I15" s="110"/>
    </row>
    <row r="16" spans="1:23" x14ac:dyDescent="0.2">
      <c r="B16" s="95" t="s">
        <v>1040</v>
      </c>
      <c r="C16" s="113">
        <f>+'Sumaria contabilidad'!C16</f>
        <v>26526324</v>
      </c>
      <c r="D16" s="113">
        <f>+'Sumaria contabilidad'!D16</f>
        <v>147051000</v>
      </c>
      <c r="E16" s="113">
        <f>+'Sumaria contabilidad'!E16</f>
        <v>78891000</v>
      </c>
      <c r="F16" s="112"/>
      <c r="G16" s="111">
        <f t="shared" si="1"/>
        <v>-120524676</v>
      </c>
      <c r="H16" s="111">
        <f t="shared" si="1"/>
        <v>68160000</v>
      </c>
      <c r="I16" s="110"/>
      <c r="W16" s="84" t="s">
        <v>945</v>
      </c>
    </row>
    <row r="17" spans="1:27" x14ac:dyDescent="0.2">
      <c r="A17" s="33" t="s">
        <v>430</v>
      </c>
      <c r="C17" s="114">
        <f>SUM(C8:C16)</f>
        <v>15703099412</v>
      </c>
      <c r="D17" s="114">
        <f>SUM(D8:D16)</f>
        <v>11145407166</v>
      </c>
      <c r="E17" s="114">
        <f>SUM(E8:E16)</f>
        <v>6455134704</v>
      </c>
      <c r="F17" s="110"/>
      <c r="G17" s="111"/>
      <c r="H17" s="111"/>
      <c r="I17" s="110"/>
    </row>
    <row r="18" spans="1:27" x14ac:dyDescent="0.2">
      <c r="A18" s="33"/>
      <c r="C18" s="111"/>
      <c r="D18" s="111"/>
      <c r="E18" s="111"/>
      <c r="F18" s="110"/>
      <c r="G18" s="111"/>
      <c r="H18" s="111"/>
      <c r="I18" s="110"/>
    </row>
    <row r="19" spans="1:27" x14ac:dyDescent="0.2">
      <c r="B19" s="30" t="s">
        <v>431</v>
      </c>
      <c r="C19" s="111">
        <f>+'Sumaria contabilidad'!C30+'Sumaria contabilidad'!C31+'Sumaria contabilidad'!C32+'Sumaria contabilidad'!C33+'Sumaria contabilidad'!C34+'Sumaria contabilidad'!C35+'Sumaria contabilidad'!C36+'Sumaria contabilidad'!C37+'Sumaria contabilidad'!C38+'Sumaria contabilidad'!C39+'Sumaria contabilidad'!C40+'Sumaria contabilidad'!C41+'Sumaria contabilidad'!C42</f>
        <v>5379942168</v>
      </c>
      <c r="D19" s="111">
        <f>+'Sumaria contabilidad'!D30+'Sumaria contabilidad'!D31+'Sumaria contabilidad'!D32+'Sumaria contabilidad'!D33+'Sumaria contabilidad'!D34+'Sumaria contabilidad'!D35+'Sumaria contabilidad'!D36+'Sumaria contabilidad'!D37+'Sumaria contabilidad'!D38+'Sumaria contabilidad'!D39+'Sumaria contabilidad'!D40+'Sumaria contabilidad'!D41+'Sumaria contabilidad'!D42</f>
        <v>5561064272</v>
      </c>
      <c r="E19" s="111">
        <f>+'Sumaria contabilidad'!E30+'Sumaria contabilidad'!E31+'Sumaria contabilidad'!E32+'Sumaria contabilidad'!E33+'Sumaria contabilidad'!E34+'Sumaria contabilidad'!E35+'Sumaria contabilidad'!E36+'Sumaria contabilidad'!E37+'Sumaria contabilidad'!E38+'Sumaria contabilidad'!E39+'Sumaria contabilidad'!E40+'Sumaria contabilidad'!E41+'Sumaria contabilidad'!E42</f>
        <v>5742186375</v>
      </c>
      <c r="F19" s="112"/>
      <c r="G19" s="111">
        <f t="shared" ref="G19:H24" si="2">+C19-D19</f>
        <v>-181122104</v>
      </c>
      <c r="H19" s="111">
        <f t="shared" si="2"/>
        <v>-181122103</v>
      </c>
      <c r="I19" s="110"/>
      <c r="S19" s="84" t="s">
        <v>940</v>
      </c>
      <c r="W19" s="84" t="s">
        <v>946</v>
      </c>
    </row>
    <row r="20" spans="1:27" x14ac:dyDescent="0.2">
      <c r="B20" s="30" t="s">
        <v>432</v>
      </c>
      <c r="C20" s="111">
        <f>+'Sumaria contabilidad'!C48+'Sumaria contabilidad'!C49</f>
        <v>1892000000</v>
      </c>
      <c r="D20" s="111">
        <f>+'Sumaria contabilidad'!D48+'Sumaria contabilidad'!D49</f>
        <v>1845000000</v>
      </c>
      <c r="E20" s="111">
        <f>+'Sumaria contabilidad'!E48+'Sumaria contabilidad'!E49</f>
        <v>1200000000</v>
      </c>
      <c r="F20" s="112"/>
      <c r="G20" s="111">
        <f t="shared" si="2"/>
        <v>47000000</v>
      </c>
      <c r="H20" s="111">
        <f t="shared" si="2"/>
        <v>645000000</v>
      </c>
      <c r="I20" s="110"/>
    </row>
    <row r="21" spans="1:27" x14ac:dyDescent="0.2">
      <c r="B21" s="30" t="s">
        <v>813</v>
      </c>
      <c r="C21" s="111">
        <f>+'Sumaria contabilidad'!C43+'Sumaria contabilidad'!C44</f>
        <v>0</v>
      </c>
      <c r="D21" s="111">
        <f>+'Sumaria contabilidad'!D43+'Sumaria contabilidad'!D44</f>
        <v>13000000</v>
      </c>
      <c r="E21" s="111">
        <f>+'Sumaria contabilidad'!E43+'Sumaria contabilidad'!E44</f>
        <v>26000000</v>
      </c>
      <c r="F21" s="112"/>
      <c r="G21" s="111">
        <f t="shared" si="2"/>
        <v>-13000000</v>
      </c>
      <c r="H21" s="111">
        <f t="shared" si="2"/>
        <v>-13000000</v>
      </c>
      <c r="I21" s="110"/>
    </row>
    <row r="22" spans="1:27" x14ac:dyDescent="0.2">
      <c r="B22" s="30" t="s">
        <v>917</v>
      </c>
      <c r="C22" s="111">
        <v>0</v>
      </c>
      <c r="D22" s="111">
        <v>0</v>
      </c>
      <c r="E22" s="111">
        <v>0</v>
      </c>
      <c r="F22" s="112"/>
      <c r="G22" s="111">
        <f>+C22-D22</f>
        <v>0</v>
      </c>
      <c r="H22" s="111">
        <f>+D22-E22</f>
        <v>0</v>
      </c>
      <c r="I22" s="110"/>
      <c r="W22" s="84" t="s">
        <v>947</v>
      </c>
      <c r="Y22" s="84" t="s">
        <v>949</v>
      </c>
      <c r="Z22" s="84" t="s">
        <v>950</v>
      </c>
      <c r="AA22" s="84" t="s">
        <v>208</v>
      </c>
    </row>
    <row r="23" spans="1:27" x14ac:dyDescent="0.2">
      <c r="B23" s="30" t="s">
        <v>433</v>
      </c>
      <c r="C23" s="111">
        <v>0</v>
      </c>
      <c r="D23" s="111">
        <v>0</v>
      </c>
      <c r="E23" s="111">
        <v>0</v>
      </c>
      <c r="F23" s="112"/>
      <c r="G23" s="111">
        <f t="shared" si="2"/>
        <v>0</v>
      </c>
      <c r="H23" s="111">
        <f t="shared" si="2"/>
        <v>0</v>
      </c>
      <c r="I23" s="110"/>
    </row>
    <row r="24" spans="1:27" x14ac:dyDescent="0.2">
      <c r="B24" s="95" t="s">
        <v>1000</v>
      </c>
      <c r="C24" s="113">
        <f>+'Sumaria contabilidad'!C14</f>
        <v>1806700000</v>
      </c>
      <c r="D24" s="113">
        <f>+'Sumaria contabilidad'!D14</f>
        <v>1806700000</v>
      </c>
      <c r="E24" s="113">
        <f>+'Sumaria contabilidad'!E14</f>
        <v>1806700000</v>
      </c>
      <c r="F24" s="110"/>
      <c r="G24" s="111">
        <f t="shared" si="2"/>
        <v>0</v>
      </c>
      <c r="H24" s="111">
        <f t="shared" si="2"/>
        <v>0</v>
      </c>
      <c r="I24" s="110"/>
      <c r="W24" s="84" t="s">
        <v>125</v>
      </c>
    </row>
    <row r="25" spans="1:27" x14ac:dyDescent="0.2">
      <c r="A25" s="33" t="s">
        <v>434</v>
      </c>
      <c r="C25" s="114">
        <f>SUM(C19:C24)</f>
        <v>9078642168</v>
      </c>
      <c r="D25" s="114">
        <f>SUM(D19:D24)</f>
        <v>9225764272</v>
      </c>
      <c r="E25" s="114">
        <f>SUM(E19:E24)</f>
        <v>8774886375</v>
      </c>
      <c r="F25" s="110"/>
      <c r="G25" s="111"/>
      <c r="H25" s="111"/>
      <c r="I25" s="110"/>
      <c r="W25" s="84" t="s">
        <v>948</v>
      </c>
    </row>
    <row r="26" spans="1:27" ht="13.5" thickBot="1" x14ac:dyDescent="0.25">
      <c r="A26" s="33" t="s">
        <v>435</v>
      </c>
      <c r="C26" s="115">
        <f>+C17+C25</f>
        <v>24781741580</v>
      </c>
      <c r="D26" s="115">
        <f>+D17+D25</f>
        <v>20371171438</v>
      </c>
      <c r="E26" s="115">
        <f>+E17+E25</f>
        <v>15230021079</v>
      </c>
      <c r="F26" s="110"/>
      <c r="G26" s="111"/>
      <c r="H26" s="111"/>
      <c r="I26" s="110"/>
    </row>
    <row r="27" spans="1:27" ht="13.5" thickTop="1" x14ac:dyDescent="0.2">
      <c r="B27" s="33"/>
      <c r="C27" s="114">
        <f>+'Sumaria contabilidad'!C51-C26</f>
        <v>0</v>
      </c>
      <c r="D27" s="114">
        <f>+'Sumaria contabilidad'!D51-D26</f>
        <v>0</v>
      </c>
      <c r="E27" s="114">
        <f>+'Sumaria contabilidad'!E51-E26</f>
        <v>0</v>
      </c>
      <c r="F27" s="110"/>
      <c r="G27" s="111"/>
      <c r="H27" s="111"/>
      <c r="I27" s="110"/>
    </row>
    <row r="28" spans="1:27" x14ac:dyDescent="0.2">
      <c r="B28" s="30" t="s">
        <v>436</v>
      </c>
      <c r="C28" s="111">
        <f>+'Sumaria contabilidad'!C55+'Sumaria contabilidad'!C56+'Sumaria contabilidad'!C57+'Sumaria contabilidad'!C58+'Sumaria contabilidad'!C59+'Sumaria contabilidad'!C61+'Sumaria contabilidad'!C62+'Sumaria contabilidad'!C63</f>
        <v>1395192883.52</v>
      </c>
      <c r="D28" s="111">
        <f>+'Sumaria contabilidad'!D55+'Sumaria contabilidad'!D56+'Sumaria contabilidad'!D57+'Sumaria contabilidad'!D58+'Sumaria contabilidad'!D59+'Sumaria contabilidad'!D61+'Sumaria contabilidad'!D62+'Sumaria contabilidad'!D63</f>
        <v>1717141766</v>
      </c>
      <c r="E28" s="111">
        <f>+'Sumaria contabilidad'!E55+'Sumaria contabilidad'!E56+'Sumaria contabilidad'!E57+'Sumaria contabilidad'!E58+'Sumaria contabilidad'!E59+'Sumaria contabilidad'!E61+'Sumaria contabilidad'!E62+'Sumaria contabilidad'!E63</f>
        <v>1164145638</v>
      </c>
      <c r="F28" s="112"/>
      <c r="G28" s="111">
        <f t="shared" ref="G28:H32" si="3">+C28-D28</f>
        <v>-321948882.48000002</v>
      </c>
      <c r="H28" s="111">
        <f t="shared" si="3"/>
        <v>552996128</v>
      </c>
      <c r="I28" s="110"/>
    </row>
    <row r="29" spans="1:27" s="120" customFormat="1" x14ac:dyDescent="0.2">
      <c r="A29" s="30"/>
      <c r="B29" s="95" t="s">
        <v>1041</v>
      </c>
      <c r="C29" s="176">
        <f>+'Sumaria contabilidad'!C60</f>
        <v>1735037000</v>
      </c>
      <c r="D29" s="176">
        <f>+'Sumaria contabilidad'!D60</f>
        <v>1148433000</v>
      </c>
      <c r="E29" s="176">
        <f>+'Sumaria contabilidad'!E60</f>
        <v>125600000</v>
      </c>
      <c r="F29" s="112"/>
      <c r="G29" s="176">
        <f t="shared" si="3"/>
        <v>586604000</v>
      </c>
      <c r="H29" s="176">
        <f t="shared" si="3"/>
        <v>1022833000</v>
      </c>
      <c r="I29" s="110"/>
      <c r="Q29" s="1106"/>
    </row>
    <row r="30" spans="1:27" x14ac:dyDescent="0.2">
      <c r="B30" s="30" t="s">
        <v>170</v>
      </c>
      <c r="C30" s="111">
        <f>+'Sumaria contabilidad'!C66</f>
        <v>37700100</v>
      </c>
      <c r="D30" s="111">
        <f>+'Sumaria contabilidad'!D66</f>
        <v>5052000</v>
      </c>
      <c r="E30" s="111">
        <f>+'Sumaria contabilidad'!E66</f>
        <v>10052000</v>
      </c>
      <c r="F30" s="112"/>
      <c r="G30" s="111">
        <f t="shared" ref="G30" si="4">+C30-D30</f>
        <v>32648100</v>
      </c>
      <c r="H30" s="111">
        <f t="shared" ref="H30" si="5">+D30-E30</f>
        <v>-5000000</v>
      </c>
      <c r="I30" s="110"/>
    </row>
    <row r="31" spans="1:27" x14ac:dyDescent="0.2">
      <c r="B31" s="30" t="s">
        <v>918</v>
      </c>
      <c r="C31" s="111">
        <f>+'Sumaria contabilidad'!C65</f>
        <v>165743000</v>
      </c>
      <c r="D31" s="111">
        <f>+'Sumaria contabilidad'!D65</f>
        <v>129560000</v>
      </c>
      <c r="E31" s="111">
        <f>+'Sumaria contabilidad'!E65</f>
        <v>126000000</v>
      </c>
      <c r="F31" s="112"/>
      <c r="G31" s="111">
        <f>+C31-D31</f>
        <v>36183000</v>
      </c>
      <c r="H31" s="111">
        <f>+D31-E31</f>
        <v>3560000</v>
      </c>
      <c r="I31" s="110"/>
    </row>
    <row r="32" spans="1:27" x14ac:dyDescent="0.2">
      <c r="B32" s="95" t="s">
        <v>967</v>
      </c>
      <c r="C32" s="113">
        <f>+'Sumaria contabilidad'!C54</f>
        <v>1414550974.1461334</v>
      </c>
      <c r="D32" s="113">
        <f>+'Sumaria contabilidad'!D54</f>
        <v>1999891090.1461334</v>
      </c>
      <c r="E32" s="113">
        <f>+'Sumaria contabilidad'!E54</f>
        <v>2516527734.1461334</v>
      </c>
      <c r="F32" s="112"/>
      <c r="G32" s="111">
        <f t="shared" si="3"/>
        <v>-585340116</v>
      </c>
      <c r="H32" s="111">
        <f t="shared" si="3"/>
        <v>-516636644</v>
      </c>
      <c r="I32" s="110"/>
      <c r="J32" s="88"/>
      <c r="Q32" s="89"/>
      <c r="R32" s="89"/>
      <c r="S32" s="89"/>
    </row>
    <row r="33" spans="1:9" x14ac:dyDescent="0.2">
      <c r="A33" s="33" t="s">
        <v>437</v>
      </c>
      <c r="C33" s="114">
        <f>SUM(C28:C32)</f>
        <v>4748223957.6661339</v>
      </c>
      <c r="D33" s="114">
        <f>SUM(D28:D32)</f>
        <v>5000077856.1461334</v>
      </c>
      <c r="E33" s="114">
        <f>SUM(E28:E32)</f>
        <v>3942325372.1461334</v>
      </c>
      <c r="F33" s="110"/>
      <c r="G33" s="111"/>
      <c r="H33" s="111"/>
      <c r="I33" s="110"/>
    </row>
    <row r="34" spans="1:9" x14ac:dyDescent="0.2">
      <c r="A34" s="33"/>
      <c r="C34" s="111"/>
      <c r="D34" s="111"/>
      <c r="E34" s="111"/>
      <c r="F34" s="110"/>
      <c r="G34" s="111"/>
      <c r="H34" s="111"/>
      <c r="I34" s="110"/>
    </row>
    <row r="35" spans="1:9" x14ac:dyDescent="0.2">
      <c r="B35" s="30" t="s">
        <v>919</v>
      </c>
      <c r="C35" s="111">
        <f>+'Sumaria contabilidad'!C64</f>
        <v>197067140</v>
      </c>
      <c r="D35" s="111">
        <f>+'Sumaria contabilidad'!D64</f>
        <v>139385828</v>
      </c>
      <c r="E35" s="111">
        <f>+'Sumaria contabilidad'!E64</f>
        <v>135078737</v>
      </c>
      <c r="F35" s="112"/>
      <c r="G35" s="111">
        <f t="shared" ref="G35:H37" si="6">+C35-D35</f>
        <v>57681312</v>
      </c>
      <c r="H35" s="111">
        <f t="shared" si="6"/>
        <v>4307091</v>
      </c>
      <c r="I35" s="110"/>
    </row>
    <row r="36" spans="1:9" x14ac:dyDescent="0.2">
      <c r="B36" s="30" t="s">
        <v>438</v>
      </c>
      <c r="C36" s="111">
        <f>+'Sumaria contabilidad'!C67</f>
        <v>0</v>
      </c>
      <c r="D36" s="111">
        <f>+'Sumaria contabilidad'!D67</f>
        <v>848838343.1909194</v>
      </c>
      <c r="E36" s="111">
        <f>+'Sumaria contabilidad'!E67</f>
        <v>558693552.59722829</v>
      </c>
      <c r="F36" s="112"/>
      <c r="G36" s="111">
        <f t="shared" si="6"/>
        <v>-848838343.1909194</v>
      </c>
      <c r="H36" s="111">
        <f t="shared" si="6"/>
        <v>290144790.59369111</v>
      </c>
      <c r="I36" s="110"/>
    </row>
    <row r="37" spans="1:9" x14ac:dyDescent="0.2">
      <c r="B37" s="95" t="s">
        <v>967</v>
      </c>
      <c r="C37" s="113">
        <v>0</v>
      </c>
      <c r="D37" s="113">
        <v>0</v>
      </c>
      <c r="E37" s="113">
        <v>0</v>
      </c>
      <c r="F37" s="112"/>
      <c r="G37" s="111">
        <f t="shared" si="6"/>
        <v>0</v>
      </c>
      <c r="H37" s="111">
        <f t="shared" si="6"/>
        <v>0</v>
      </c>
      <c r="I37" s="110"/>
    </row>
    <row r="38" spans="1:9" x14ac:dyDescent="0.2">
      <c r="A38" s="33" t="s">
        <v>440</v>
      </c>
      <c r="C38" s="114">
        <f>SUM(C35:C37)</f>
        <v>197067140</v>
      </c>
      <c r="D38" s="114">
        <f>SUM(D35:D37)</f>
        <v>988224171.1909194</v>
      </c>
      <c r="E38" s="114">
        <f>SUM(E35:E37)</f>
        <v>693772289.59722829</v>
      </c>
      <c r="F38" s="110"/>
      <c r="G38" s="111"/>
      <c r="H38" s="111"/>
      <c r="I38" s="110"/>
    </row>
    <row r="39" spans="1:9" ht="13.5" thickBot="1" x14ac:dyDescent="0.25">
      <c r="A39" s="33" t="s">
        <v>55</v>
      </c>
      <c r="C39" s="115">
        <f>+C33+C38</f>
        <v>4945291097.6661339</v>
      </c>
      <c r="D39" s="115">
        <f>+D33+D38</f>
        <v>5988302027.3370533</v>
      </c>
      <c r="E39" s="115">
        <f>+E33+E38</f>
        <v>4636097661.7433615</v>
      </c>
      <c r="F39" s="110"/>
      <c r="G39" s="111"/>
      <c r="H39" s="111"/>
      <c r="I39" s="110"/>
    </row>
    <row r="40" spans="1:9" ht="13.5" thickTop="1" x14ac:dyDescent="0.2">
      <c r="B40" s="33"/>
      <c r="C40" s="114"/>
      <c r="D40" s="114"/>
      <c r="E40" s="114"/>
      <c r="F40" s="110"/>
      <c r="G40" s="111"/>
      <c r="H40" s="111"/>
      <c r="I40" s="110"/>
    </row>
    <row r="41" spans="1:9" x14ac:dyDescent="0.2">
      <c r="B41" s="30" t="s">
        <v>441</v>
      </c>
      <c r="C41" s="111">
        <f>+'Sumaria contabilidad'!C71</f>
        <v>8500000000</v>
      </c>
      <c r="D41" s="111">
        <f>+'Sumaria contabilidad'!D71</f>
        <v>8500000000</v>
      </c>
      <c r="E41" s="111">
        <f>+'Sumaria contabilidad'!E71</f>
        <v>8500000000</v>
      </c>
      <c r="F41" s="110"/>
      <c r="G41" s="111">
        <f t="shared" ref="G41:H43" si="7">+C41-D41</f>
        <v>0</v>
      </c>
      <c r="H41" s="111">
        <f t="shared" si="7"/>
        <v>0</v>
      </c>
      <c r="I41" s="110"/>
    </row>
    <row r="42" spans="1:9" x14ac:dyDescent="0.2">
      <c r="B42" s="30" t="s">
        <v>145</v>
      </c>
      <c r="C42" s="111">
        <v>0</v>
      </c>
      <c r="D42" s="111">
        <v>0</v>
      </c>
      <c r="E42" s="111">
        <v>0</v>
      </c>
      <c r="F42" s="112"/>
      <c r="G42" s="111">
        <f t="shared" si="7"/>
        <v>0</v>
      </c>
      <c r="H42" s="111">
        <f t="shared" si="7"/>
        <v>0</v>
      </c>
      <c r="I42" s="110"/>
    </row>
    <row r="43" spans="1:9" x14ac:dyDescent="0.2">
      <c r="B43" s="30" t="s">
        <v>442</v>
      </c>
      <c r="C43" s="111">
        <f>+'Sumaria contabilidad'!C72+'Sumaria contabilidad'!C73+'Sumaria contabilidad'!C74+'Sumaria contabilidad'!C75</f>
        <v>11336450482.337225</v>
      </c>
      <c r="D43" s="111">
        <f>+'Sumaria contabilidad'!D72+'Sumaria contabilidad'!D73+'Sumaria contabilidad'!D74+'Sumaria contabilidad'!D75</f>
        <v>5882869410.6663074</v>
      </c>
      <c r="E43" s="111">
        <f>+'Sumaria contabilidad'!E72+'Sumaria contabilidad'!E73+'Sumaria contabilidad'!E74+'Sumaria contabilidad'!E75</f>
        <v>2093923417.26</v>
      </c>
      <c r="F43" s="112"/>
      <c r="G43" s="111">
        <f t="shared" si="7"/>
        <v>5453581071.6709175</v>
      </c>
      <c r="H43" s="111">
        <f t="shared" si="7"/>
        <v>3788945993.4063072</v>
      </c>
      <c r="I43" s="110"/>
    </row>
    <row r="44" spans="1:9" x14ac:dyDescent="0.2">
      <c r="A44" s="33" t="s">
        <v>443</v>
      </c>
      <c r="C44" s="114">
        <f>SUM(C41:C43)</f>
        <v>19836450482.337227</v>
      </c>
      <c r="D44" s="114">
        <f>SUM(D41:D43)</f>
        <v>14382869410.666307</v>
      </c>
      <c r="E44" s="114">
        <f>SUM(E41:E43)</f>
        <v>10593923417.26</v>
      </c>
      <c r="F44" s="110"/>
      <c r="G44" s="111"/>
      <c r="H44" s="111"/>
      <c r="I44" s="110"/>
    </row>
    <row r="45" spans="1:9" ht="13.5" thickBot="1" x14ac:dyDescent="0.25">
      <c r="A45" s="33" t="s">
        <v>444</v>
      </c>
      <c r="C45" s="115">
        <f>+C44+C39</f>
        <v>24781741580.003361</v>
      </c>
      <c r="D45" s="115">
        <f>+D44+D39</f>
        <v>20371171438.003361</v>
      </c>
      <c r="E45" s="115">
        <f>+E44+E39</f>
        <v>15230021079.003361</v>
      </c>
      <c r="F45" s="110"/>
      <c r="G45" s="111"/>
      <c r="H45" s="111"/>
      <c r="I45" s="110"/>
    </row>
    <row r="46" spans="1:9" ht="13.5" thickTop="1" x14ac:dyDescent="0.2">
      <c r="B46" s="30"/>
      <c r="C46" s="116"/>
      <c r="D46" s="116"/>
      <c r="E46" s="116"/>
      <c r="F46" s="110"/>
      <c r="G46" s="111"/>
      <c r="H46" s="111"/>
      <c r="I46" s="110"/>
    </row>
    <row r="47" spans="1:9" x14ac:dyDescent="0.2">
      <c r="C47" s="116"/>
      <c r="D47" s="116"/>
      <c r="E47" s="116"/>
      <c r="F47" s="110"/>
      <c r="G47" s="111"/>
      <c r="H47" s="111"/>
      <c r="I47" s="116"/>
    </row>
    <row r="48" spans="1:9" x14ac:dyDescent="0.2">
      <c r="C48" s="116"/>
      <c r="D48" s="116"/>
      <c r="E48" s="116"/>
      <c r="F48" s="110"/>
      <c r="G48" s="117"/>
      <c r="H48" s="117"/>
      <c r="I48" s="116"/>
    </row>
    <row r="49" spans="3:9" x14ac:dyDescent="0.2">
      <c r="C49" s="116">
        <f>+C45-C26</f>
        <v>3.360748291015625E-3</v>
      </c>
      <c r="D49" s="116">
        <f>+D45-D26</f>
        <v>3.360748291015625E-3</v>
      </c>
      <c r="E49" s="116">
        <f>+E45-E26</f>
        <v>3.360748291015625E-3</v>
      </c>
      <c r="F49" s="110"/>
      <c r="G49" s="116"/>
      <c r="H49" s="116"/>
      <c r="I49" s="116"/>
    </row>
    <row r="50" spans="3:9" x14ac:dyDescent="0.2">
      <c r="C50" s="116"/>
      <c r="D50" s="116"/>
      <c r="E50" s="116"/>
      <c r="F50" s="110"/>
      <c r="G50" s="116"/>
      <c r="H50" s="116"/>
      <c r="I50" s="116"/>
    </row>
    <row r="51" spans="3:9" x14ac:dyDescent="0.2">
      <c r="C51" s="116"/>
      <c r="D51" s="116"/>
      <c r="E51" s="116"/>
      <c r="F51" s="110"/>
      <c r="G51" s="116"/>
      <c r="H51" s="116"/>
      <c r="I51" s="116"/>
    </row>
    <row r="52" spans="3:9" x14ac:dyDescent="0.2">
      <c r="C52" s="116"/>
      <c r="D52" s="116"/>
      <c r="E52" s="116"/>
      <c r="F52" s="110"/>
      <c r="G52" s="116"/>
      <c r="H52" s="116"/>
      <c r="I52" s="116"/>
    </row>
    <row r="53" spans="3:9" x14ac:dyDescent="0.2">
      <c r="C53" s="116"/>
      <c r="D53" s="116"/>
      <c r="E53" s="116"/>
      <c r="F53" s="110"/>
      <c r="G53" s="116"/>
      <c r="H53" s="116"/>
      <c r="I53" s="116"/>
    </row>
    <row r="54" spans="3:9" x14ac:dyDescent="0.2">
      <c r="C54" s="116"/>
      <c r="D54" s="116"/>
      <c r="E54" s="116"/>
      <c r="F54" s="110"/>
      <c r="G54" s="116"/>
      <c r="H54" s="116"/>
      <c r="I54" s="116"/>
    </row>
    <row r="55" spans="3:9" x14ac:dyDescent="0.2">
      <c r="C55" s="116"/>
      <c r="D55" s="116"/>
      <c r="E55" s="116"/>
      <c r="F55" s="110"/>
      <c r="G55" s="116"/>
      <c r="H55" s="116"/>
      <c r="I55" s="116"/>
    </row>
    <row r="56" spans="3:9" x14ac:dyDescent="0.2">
      <c r="C56" s="116"/>
      <c r="D56" s="116"/>
      <c r="E56" s="116"/>
      <c r="F56" s="110"/>
      <c r="G56" s="116"/>
      <c r="H56" s="116"/>
      <c r="I56" s="116"/>
    </row>
    <row r="57" spans="3:9" x14ac:dyDescent="0.2">
      <c r="C57" s="116"/>
      <c r="D57" s="116"/>
      <c r="E57" s="116"/>
      <c r="F57" s="110"/>
      <c r="G57" s="116"/>
      <c r="H57" s="116"/>
      <c r="I57" s="116"/>
    </row>
    <row r="58" spans="3:9" x14ac:dyDescent="0.2">
      <c r="C58" s="116"/>
      <c r="D58" s="116"/>
      <c r="E58" s="116"/>
      <c r="F58" s="110"/>
      <c r="G58" s="116"/>
      <c r="H58" s="116"/>
      <c r="I58" s="116"/>
    </row>
    <row r="59" spans="3:9" x14ac:dyDescent="0.2">
      <c r="C59" s="116"/>
      <c r="D59" s="116"/>
      <c r="E59" s="116"/>
      <c r="F59" s="110"/>
      <c r="G59" s="116"/>
      <c r="H59" s="116"/>
      <c r="I59" s="116"/>
    </row>
    <row r="60" spans="3:9" x14ac:dyDescent="0.2">
      <c r="C60" s="116"/>
      <c r="D60" s="116"/>
      <c r="E60" s="116"/>
      <c r="F60" s="110"/>
      <c r="G60" s="116"/>
      <c r="H60" s="116"/>
      <c r="I60" s="116"/>
    </row>
    <row r="61" spans="3:9" x14ac:dyDescent="0.2">
      <c r="C61" s="116"/>
      <c r="D61" s="116"/>
      <c r="E61" s="116"/>
      <c r="F61" s="110"/>
      <c r="G61" s="116"/>
      <c r="H61" s="116"/>
      <c r="I61" s="116"/>
    </row>
    <row r="62" spans="3:9" x14ac:dyDescent="0.2">
      <c r="C62" s="116"/>
      <c r="D62" s="116"/>
      <c r="E62" s="116"/>
      <c r="F62" s="110"/>
      <c r="G62" s="116"/>
      <c r="H62" s="116"/>
      <c r="I62" s="116"/>
    </row>
    <row r="63" spans="3:9" x14ac:dyDescent="0.2">
      <c r="C63" s="116"/>
      <c r="D63" s="116"/>
      <c r="E63" s="116"/>
      <c r="F63" s="110"/>
      <c r="G63" s="116"/>
      <c r="H63" s="116"/>
      <c r="I63" s="116"/>
    </row>
    <row r="64" spans="3:9" x14ac:dyDescent="0.2">
      <c r="C64" s="116"/>
      <c r="D64" s="116"/>
      <c r="E64" s="116"/>
      <c r="F64" s="110"/>
      <c r="G64" s="116"/>
      <c r="H64" s="116"/>
      <c r="I64" s="116"/>
    </row>
    <row r="65" spans="3:9" x14ac:dyDescent="0.2">
      <c r="C65" s="116"/>
      <c r="D65" s="116"/>
      <c r="E65" s="116"/>
      <c r="F65" s="110"/>
      <c r="G65" s="116"/>
      <c r="H65" s="116"/>
      <c r="I65" s="116"/>
    </row>
    <row r="66" spans="3:9" x14ac:dyDescent="0.2">
      <c r="C66" s="116"/>
      <c r="D66" s="116"/>
      <c r="E66" s="116"/>
      <c r="F66" s="110"/>
      <c r="G66" s="116"/>
      <c r="H66" s="116"/>
      <c r="I66" s="116"/>
    </row>
    <row r="67" spans="3:9" x14ac:dyDescent="0.2">
      <c r="C67" s="116"/>
      <c r="D67" s="116"/>
      <c r="E67" s="116"/>
      <c r="F67" s="110"/>
      <c r="G67" s="116"/>
      <c r="H67" s="116"/>
      <c r="I67" s="116"/>
    </row>
    <row r="68" spans="3:9" x14ac:dyDescent="0.2">
      <c r="C68" s="116"/>
      <c r="D68" s="116"/>
      <c r="E68" s="116"/>
      <c r="F68" s="110"/>
      <c r="G68" s="116"/>
      <c r="H68" s="116"/>
      <c r="I68" s="116"/>
    </row>
    <row r="69" spans="3:9" x14ac:dyDescent="0.2">
      <c r="C69" s="116"/>
      <c r="D69" s="116"/>
      <c r="E69" s="116"/>
      <c r="F69" s="110"/>
      <c r="G69" s="116"/>
      <c r="H69" s="116"/>
      <c r="I69" s="116"/>
    </row>
    <row r="70" spans="3:9" x14ac:dyDescent="0.2">
      <c r="C70" s="116"/>
      <c r="D70" s="116"/>
      <c r="E70" s="116"/>
      <c r="F70" s="110"/>
      <c r="G70" s="116"/>
      <c r="H70" s="116"/>
      <c r="I70" s="116"/>
    </row>
    <row r="71" spans="3:9" x14ac:dyDescent="0.2">
      <c r="C71" s="116"/>
      <c r="D71" s="116"/>
      <c r="E71" s="116"/>
      <c r="F71" s="110"/>
      <c r="G71" s="116"/>
      <c r="H71" s="116"/>
      <c r="I71" s="116"/>
    </row>
    <row r="72" spans="3:9" x14ac:dyDescent="0.2">
      <c r="C72" s="116"/>
      <c r="D72" s="116"/>
      <c r="E72" s="116"/>
      <c r="F72" s="110"/>
      <c r="G72" s="116"/>
      <c r="H72" s="116"/>
      <c r="I72" s="116"/>
    </row>
    <row r="73" spans="3:9" x14ac:dyDescent="0.2">
      <c r="C73" s="116"/>
      <c r="D73" s="116"/>
      <c r="E73" s="116"/>
      <c r="F73" s="110"/>
      <c r="G73" s="116"/>
      <c r="H73" s="116"/>
      <c r="I73" s="116"/>
    </row>
    <row r="74" spans="3:9" x14ac:dyDescent="0.2">
      <c r="C74" s="116"/>
      <c r="D74" s="116"/>
      <c r="E74" s="116"/>
      <c r="F74" s="110"/>
      <c r="G74" s="116"/>
      <c r="H74" s="116"/>
      <c r="I74" s="116"/>
    </row>
    <row r="75" spans="3:9" x14ac:dyDescent="0.2">
      <c r="C75" s="116"/>
      <c r="D75" s="116"/>
      <c r="E75" s="116"/>
      <c r="F75" s="110"/>
      <c r="G75" s="116"/>
      <c r="H75" s="116"/>
      <c r="I75" s="116"/>
    </row>
    <row r="76" spans="3:9" x14ac:dyDescent="0.2">
      <c r="C76" s="116"/>
      <c r="D76" s="116"/>
      <c r="E76" s="116"/>
      <c r="F76" s="110"/>
      <c r="G76" s="116"/>
      <c r="H76" s="116"/>
      <c r="I76" s="116"/>
    </row>
    <row r="77" spans="3:9" x14ac:dyDescent="0.2">
      <c r="C77" s="116"/>
      <c r="D77" s="116"/>
      <c r="E77" s="116"/>
      <c r="F77" s="110"/>
      <c r="G77" s="116"/>
      <c r="H77" s="116"/>
      <c r="I77" s="116"/>
    </row>
    <row r="78" spans="3:9" x14ac:dyDescent="0.2">
      <c r="C78" s="116"/>
      <c r="D78" s="116"/>
      <c r="E78" s="116"/>
      <c r="F78" s="110"/>
      <c r="G78" s="116"/>
      <c r="H78" s="116"/>
      <c r="I78" s="116"/>
    </row>
    <row r="79" spans="3:9" x14ac:dyDescent="0.2">
      <c r="C79" s="116"/>
      <c r="D79" s="116"/>
      <c r="E79" s="116"/>
      <c r="F79" s="110"/>
      <c r="G79" s="116"/>
      <c r="H79" s="116"/>
      <c r="I79" s="116"/>
    </row>
    <row r="80" spans="3:9" x14ac:dyDescent="0.2">
      <c r="C80" s="116"/>
      <c r="D80" s="116"/>
      <c r="E80" s="116"/>
      <c r="F80" s="110"/>
      <c r="G80" s="116"/>
      <c r="H80" s="116"/>
      <c r="I80" s="116"/>
    </row>
    <row r="81" spans="3:9" x14ac:dyDescent="0.2">
      <c r="C81" s="116"/>
      <c r="D81" s="116"/>
      <c r="E81" s="116"/>
      <c r="F81" s="110"/>
      <c r="G81" s="116"/>
      <c r="H81" s="116"/>
      <c r="I81" s="116"/>
    </row>
    <row r="82" spans="3:9" x14ac:dyDescent="0.2">
      <c r="C82" s="116"/>
      <c r="D82" s="116"/>
      <c r="E82" s="116"/>
      <c r="F82" s="110"/>
      <c r="G82" s="116"/>
      <c r="H82" s="116"/>
      <c r="I82" s="116"/>
    </row>
    <row r="83" spans="3:9" x14ac:dyDescent="0.2">
      <c r="C83" s="116"/>
      <c r="D83" s="116"/>
      <c r="E83" s="116"/>
      <c r="F83" s="110"/>
      <c r="G83" s="116"/>
      <c r="H83" s="116"/>
      <c r="I83" s="116"/>
    </row>
    <row r="84" spans="3:9" x14ac:dyDescent="0.2">
      <c r="C84" s="116"/>
      <c r="D84" s="116"/>
      <c r="E84" s="116"/>
      <c r="F84" s="110"/>
      <c r="G84" s="116"/>
      <c r="H84" s="116"/>
      <c r="I84" s="116"/>
    </row>
    <row r="85" spans="3:9" x14ac:dyDescent="0.2">
      <c r="C85" s="116"/>
      <c r="D85" s="116"/>
      <c r="E85" s="116"/>
      <c r="F85" s="110"/>
      <c r="G85" s="116"/>
      <c r="H85" s="116"/>
      <c r="I85" s="116"/>
    </row>
    <row r="86" spans="3:9" x14ac:dyDescent="0.2">
      <c r="C86" s="116"/>
      <c r="D86" s="116"/>
      <c r="E86" s="116"/>
      <c r="F86" s="110"/>
      <c r="G86" s="116"/>
      <c r="H86" s="116"/>
      <c r="I86" s="116"/>
    </row>
    <row r="87" spans="3:9" x14ac:dyDescent="0.2">
      <c r="C87" s="116"/>
      <c r="D87" s="116"/>
      <c r="E87" s="116"/>
      <c r="F87" s="110"/>
      <c r="G87" s="116"/>
      <c r="H87" s="116"/>
      <c r="I87" s="116"/>
    </row>
    <row r="88" spans="3:9" x14ac:dyDescent="0.2">
      <c r="C88" s="116"/>
      <c r="D88" s="116"/>
      <c r="E88" s="116"/>
      <c r="F88" s="110"/>
      <c r="G88" s="116"/>
      <c r="H88" s="116"/>
      <c r="I88" s="116"/>
    </row>
    <row r="89" spans="3:9" x14ac:dyDescent="0.2">
      <c r="C89" s="116"/>
      <c r="D89" s="116"/>
      <c r="E89" s="116"/>
      <c r="F89" s="110"/>
      <c r="G89" s="116"/>
      <c r="H89" s="116"/>
      <c r="I89" s="116"/>
    </row>
    <row r="90" spans="3:9" x14ac:dyDescent="0.2">
      <c r="C90" s="116"/>
      <c r="D90" s="116"/>
      <c r="E90" s="116"/>
      <c r="F90" s="110"/>
      <c r="G90" s="116"/>
      <c r="H90" s="116"/>
      <c r="I90" s="116"/>
    </row>
    <row r="91" spans="3:9" x14ac:dyDescent="0.2">
      <c r="C91" s="116"/>
      <c r="D91" s="116"/>
      <c r="E91" s="116"/>
      <c r="F91" s="110"/>
      <c r="G91" s="116"/>
      <c r="H91" s="116"/>
      <c r="I91" s="116"/>
    </row>
    <row r="92" spans="3:9" x14ac:dyDescent="0.2">
      <c r="C92" s="116"/>
      <c r="D92" s="116"/>
      <c r="E92" s="116"/>
      <c r="F92" s="110"/>
      <c r="G92" s="116"/>
      <c r="H92" s="116"/>
      <c r="I92" s="116"/>
    </row>
    <row r="93" spans="3:9" x14ac:dyDescent="0.2">
      <c r="C93" s="116"/>
      <c r="D93" s="116"/>
      <c r="E93" s="116"/>
      <c r="F93" s="110"/>
      <c r="G93" s="116"/>
      <c r="H93" s="116"/>
      <c r="I93" s="116"/>
    </row>
    <row r="94" spans="3:9" x14ac:dyDescent="0.2">
      <c r="C94" s="116"/>
      <c r="D94" s="116"/>
      <c r="E94" s="116"/>
      <c r="F94" s="110"/>
      <c r="G94" s="116"/>
      <c r="H94" s="116"/>
      <c r="I94" s="116"/>
    </row>
    <row r="95" spans="3:9" x14ac:dyDescent="0.2">
      <c r="C95" s="116"/>
      <c r="D95" s="116"/>
      <c r="E95" s="116"/>
      <c r="F95" s="110"/>
      <c r="G95" s="116"/>
      <c r="H95" s="116"/>
      <c r="I95" s="116"/>
    </row>
    <row r="96" spans="3:9" x14ac:dyDescent="0.2">
      <c r="C96" s="116"/>
      <c r="D96" s="116"/>
      <c r="E96" s="116"/>
      <c r="F96" s="110"/>
      <c r="G96" s="116"/>
      <c r="H96" s="116"/>
      <c r="I96" s="116"/>
    </row>
    <row r="97" spans="3:9" x14ac:dyDescent="0.2">
      <c r="C97" s="116"/>
      <c r="D97" s="116"/>
      <c r="E97" s="116"/>
      <c r="F97" s="110"/>
      <c r="G97" s="116"/>
      <c r="H97" s="116"/>
      <c r="I97" s="116"/>
    </row>
    <row r="98" spans="3:9" x14ac:dyDescent="0.2">
      <c r="C98" s="116"/>
      <c r="D98" s="116"/>
      <c r="E98" s="116"/>
      <c r="F98" s="110"/>
      <c r="G98" s="116"/>
      <c r="H98" s="116"/>
      <c r="I98" s="116"/>
    </row>
    <row r="99" spans="3:9" x14ac:dyDescent="0.2">
      <c r="C99" s="116"/>
      <c r="D99" s="116"/>
      <c r="E99" s="116"/>
      <c r="F99" s="110"/>
      <c r="G99" s="116"/>
      <c r="H99" s="116"/>
      <c r="I99" s="116"/>
    </row>
    <row r="100" spans="3:9" x14ac:dyDescent="0.2">
      <c r="C100" s="116"/>
      <c r="D100" s="116"/>
      <c r="E100" s="116"/>
      <c r="F100" s="110"/>
      <c r="G100" s="116"/>
      <c r="H100" s="116"/>
      <c r="I100" s="116"/>
    </row>
    <row r="101" spans="3:9" x14ac:dyDescent="0.2">
      <c r="C101" s="116"/>
      <c r="D101" s="116"/>
      <c r="E101" s="116"/>
      <c r="F101" s="110"/>
      <c r="G101" s="116"/>
      <c r="H101" s="116"/>
      <c r="I101" s="116"/>
    </row>
    <row r="102" spans="3:9" x14ac:dyDescent="0.2">
      <c r="C102" s="116"/>
      <c r="D102" s="116"/>
      <c r="E102" s="116"/>
      <c r="F102" s="110"/>
      <c r="G102" s="116"/>
      <c r="H102" s="116"/>
      <c r="I102" s="116"/>
    </row>
    <row r="103" spans="3:9" x14ac:dyDescent="0.2">
      <c r="C103" s="116"/>
      <c r="D103" s="116"/>
      <c r="E103" s="116"/>
      <c r="F103" s="110"/>
      <c r="G103" s="116"/>
      <c r="H103" s="116"/>
      <c r="I103" s="116"/>
    </row>
    <row r="104" spans="3:9" x14ac:dyDescent="0.2">
      <c r="C104" s="116"/>
      <c r="D104" s="116"/>
      <c r="E104" s="116"/>
      <c r="F104" s="110"/>
      <c r="G104" s="116"/>
      <c r="H104" s="116"/>
      <c r="I104" s="116"/>
    </row>
    <row r="105" spans="3:9" x14ac:dyDescent="0.2">
      <c r="C105" s="116"/>
      <c r="D105" s="116"/>
      <c r="E105" s="116"/>
      <c r="F105" s="110"/>
      <c r="G105" s="116"/>
      <c r="H105" s="116"/>
      <c r="I105" s="116"/>
    </row>
    <row r="106" spans="3:9" x14ac:dyDescent="0.2">
      <c r="C106" s="116"/>
      <c r="D106" s="116"/>
      <c r="E106" s="116"/>
      <c r="F106" s="110"/>
      <c r="G106" s="116"/>
      <c r="H106" s="116"/>
      <c r="I106" s="116"/>
    </row>
    <row r="107" spans="3:9" x14ac:dyDescent="0.2">
      <c r="C107" s="116"/>
      <c r="D107" s="116"/>
      <c r="E107" s="116"/>
      <c r="F107" s="110"/>
      <c r="G107" s="116"/>
      <c r="H107" s="116"/>
      <c r="I107" s="116"/>
    </row>
    <row r="108" spans="3:9" x14ac:dyDescent="0.2">
      <c r="C108" s="116"/>
      <c r="D108" s="116"/>
      <c r="E108" s="116"/>
      <c r="F108" s="110"/>
      <c r="G108" s="116"/>
      <c r="H108" s="116"/>
      <c r="I108" s="116"/>
    </row>
    <row r="109" spans="3:9" x14ac:dyDescent="0.2">
      <c r="C109" s="116"/>
      <c r="D109" s="116"/>
      <c r="E109" s="116"/>
      <c r="F109" s="110"/>
      <c r="G109" s="116"/>
      <c r="H109" s="116"/>
      <c r="I109" s="116"/>
    </row>
    <row r="110" spans="3:9" x14ac:dyDescent="0.2">
      <c r="C110" s="116"/>
      <c r="D110" s="116"/>
      <c r="E110" s="116"/>
      <c r="F110" s="110"/>
      <c r="G110" s="116"/>
      <c r="H110" s="116"/>
      <c r="I110" s="116"/>
    </row>
    <row r="111" spans="3:9" x14ac:dyDescent="0.2">
      <c r="C111" s="116"/>
      <c r="D111" s="116"/>
      <c r="E111" s="116"/>
      <c r="F111" s="110"/>
      <c r="G111" s="116"/>
      <c r="H111" s="116"/>
      <c r="I111" s="116"/>
    </row>
    <row r="112" spans="3:9" x14ac:dyDescent="0.2">
      <c r="C112" s="116"/>
      <c r="D112" s="116"/>
      <c r="E112" s="116"/>
      <c r="F112" s="110"/>
      <c r="G112" s="116"/>
      <c r="H112" s="116"/>
      <c r="I112" s="116"/>
    </row>
    <row r="113" spans="3:9" x14ac:dyDescent="0.2">
      <c r="C113" s="116"/>
      <c r="D113" s="116"/>
      <c r="E113" s="116"/>
      <c r="F113" s="110"/>
      <c r="G113" s="116"/>
      <c r="H113" s="116"/>
      <c r="I113" s="116"/>
    </row>
    <row r="114" spans="3:9" x14ac:dyDescent="0.2">
      <c r="C114" s="116"/>
      <c r="D114" s="116"/>
      <c r="E114" s="116"/>
      <c r="F114" s="110"/>
      <c r="G114" s="116"/>
      <c r="H114" s="116"/>
      <c r="I114" s="116"/>
    </row>
    <row r="115" spans="3:9" x14ac:dyDescent="0.2">
      <c r="C115" s="116"/>
      <c r="D115" s="116"/>
      <c r="E115" s="116"/>
      <c r="F115" s="110"/>
      <c r="G115" s="116"/>
      <c r="H115" s="116"/>
      <c r="I115" s="116"/>
    </row>
    <row r="116" spans="3:9" x14ac:dyDescent="0.2">
      <c r="C116" s="116"/>
      <c r="D116" s="116"/>
      <c r="E116" s="116"/>
      <c r="F116" s="110"/>
      <c r="G116" s="116"/>
      <c r="H116" s="116"/>
      <c r="I116" s="116"/>
    </row>
    <row r="117" spans="3:9" x14ac:dyDescent="0.2">
      <c r="C117" s="116"/>
      <c r="D117" s="116"/>
      <c r="E117" s="116"/>
      <c r="F117" s="110"/>
      <c r="G117" s="116"/>
      <c r="H117" s="116"/>
      <c r="I117" s="116"/>
    </row>
  </sheetData>
  <mergeCells count="4">
    <mergeCell ref="C5:D5"/>
    <mergeCell ref="B1:E1"/>
    <mergeCell ref="B2:E2"/>
    <mergeCell ref="B3:E3"/>
  </mergeCells>
  <pageMargins left="0.7" right="0.7" top="0.75" bottom="0.75" header="0.3" footer="0.3"/>
  <pageSetup scale="67" fitToHeight="0" orientation="portrait" horizontalDpi="4294967293" vertic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176"/>
  <sheetViews>
    <sheetView showGridLines="0" topLeftCell="A13" zoomScale="130" zoomScaleNormal="130" workbookViewId="0">
      <selection activeCell="C9" sqref="C9"/>
    </sheetView>
  </sheetViews>
  <sheetFormatPr baseColWidth="10" defaultRowHeight="12.75" x14ac:dyDescent="0.2"/>
  <cols>
    <col min="1" max="1" width="2.28515625" style="30" customWidth="1"/>
    <col min="2" max="2" width="44.140625" style="30" customWidth="1"/>
    <col min="3" max="4" width="23.7109375" style="186" customWidth="1"/>
    <col min="5" max="5" width="2.85546875" style="30" bestFit="1" customWidth="1"/>
    <col min="6" max="6" width="17.140625" style="30" customWidth="1"/>
    <col min="7" max="7" width="15.7109375" style="30" bestFit="1" customWidth="1"/>
    <col min="8" max="16384" width="11.42578125" style="30"/>
  </cols>
  <sheetData>
    <row r="1" spans="1:8" x14ac:dyDescent="0.2">
      <c r="B1" s="1573" t="s">
        <v>445</v>
      </c>
      <c r="C1" s="1573"/>
      <c r="D1" s="1573"/>
    </row>
    <row r="2" spans="1:8" x14ac:dyDescent="0.2">
      <c r="B2" s="1573" t="str">
        <f>+ESF!B2</f>
        <v>Empresa LVG SAS</v>
      </c>
      <c r="C2" s="1573"/>
      <c r="D2" s="1573"/>
    </row>
    <row r="3" spans="1:8" x14ac:dyDescent="0.2">
      <c r="B3" s="1573" t="str">
        <f>+ESF!B3</f>
        <v>Por el periodo terminado a diciembre 31 de 20x3 y comparado con 20x2</v>
      </c>
      <c r="C3" s="1573"/>
      <c r="D3" s="1573"/>
    </row>
    <row r="4" spans="1:8" x14ac:dyDescent="0.2">
      <c r="B4" s="119"/>
      <c r="C4" s="119"/>
      <c r="D4" s="119"/>
    </row>
    <row r="5" spans="1:8" x14ac:dyDescent="0.2">
      <c r="B5" s="120"/>
      <c r="C5" s="1574" t="s">
        <v>426</v>
      </c>
      <c r="D5" s="1574"/>
    </row>
    <row r="6" spans="1:8" x14ac:dyDescent="0.2">
      <c r="B6" s="120"/>
      <c r="C6" s="174" t="str">
        <f>+ESF!C6</f>
        <v>20x3</v>
      </c>
      <c r="D6" s="174" t="str">
        <f>+ESF!D6</f>
        <v>20x2</v>
      </c>
    </row>
    <row r="7" spans="1:8" x14ac:dyDescent="0.2">
      <c r="B7" s="120"/>
      <c r="C7" s="175"/>
      <c r="D7" s="175"/>
    </row>
    <row r="8" spans="1:8" ht="12" customHeight="1" x14ac:dyDescent="0.2">
      <c r="A8" s="33"/>
      <c r="B8" s="30" t="s">
        <v>446</v>
      </c>
      <c r="C8" s="176">
        <f>+SUM('Sumaria contabilidad'!C85:C89)+'Sumaria contabilidad'!C100</f>
        <v>30157734000</v>
      </c>
      <c r="D8" s="176">
        <f>+SUM('Sumaria contabilidad'!D85:D89)+'Sumaria contabilidad'!D100</f>
        <v>27391919000</v>
      </c>
      <c r="E8" s="177"/>
    </row>
    <row r="9" spans="1:8" x14ac:dyDescent="0.2">
      <c r="A9" s="33"/>
      <c r="B9" s="30" t="s">
        <v>149</v>
      </c>
      <c r="C9" s="176">
        <f>-SUM('Sumaria contabilidad'!C103:C107)-C10</f>
        <v>-19671922000</v>
      </c>
      <c r="D9" s="176">
        <f>-SUM('Sumaria contabilidad'!D103:D107)-D10</f>
        <v>-19055840000</v>
      </c>
      <c r="E9" s="177"/>
      <c r="F9" s="178"/>
    </row>
    <row r="10" spans="1:8" x14ac:dyDescent="0.2">
      <c r="A10" s="33"/>
      <c r="B10" s="95" t="s">
        <v>968</v>
      </c>
      <c r="C10" s="179">
        <f>-'Sumaria contabilidad'!C144-'Sumaria contabilidad'!C146</f>
        <v>-627133322</v>
      </c>
      <c r="D10" s="179">
        <f>-'Sumaria contabilidad'!D144-'Sumaria contabilidad'!D146</f>
        <v>-661302532</v>
      </c>
      <c r="E10" s="177"/>
      <c r="F10" s="180"/>
    </row>
    <row r="11" spans="1:8" x14ac:dyDescent="0.2">
      <c r="A11" s="33" t="s">
        <v>447</v>
      </c>
      <c r="C11" s="181">
        <f>+C8+C9+C10</f>
        <v>9858678678</v>
      </c>
      <c r="D11" s="181">
        <f>+D8+D9+D10</f>
        <v>7674776468</v>
      </c>
    </row>
    <row r="12" spans="1:8" x14ac:dyDescent="0.2">
      <c r="A12" s="33"/>
      <c r="B12" s="30" t="s">
        <v>448</v>
      </c>
      <c r="C12" s="176">
        <f>-SUM('Sumaria contabilidad'!C108:C128)+'Sumaria contabilidad'!C125-C13</f>
        <v>-2267289359.52</v>
      </c>
      <c r="D12" s="176">
        <f>-SUM('Sumaria contabilidad'!D108:D128)+'Sumaria contabilidad'!D125-D13</f>
        <v>-2223446150.4200001</v>
      </c>
      <c r="E12" s="177"/>
    </row>
    <row r="13" spans="1:8" x14ac:dyDescent="0.2">
      <c r="A13" s="33"/>
      <c r="B13" s="95" t="s">
        <v>968</v>
      </c>
      <c r="C13" s="179">
        <f>-'Sumaria contabilidad'!C126-'Sumaria contabilidad'!C117</f>
        <v>-120853966</v>
      </c>
      <c r="D13" s="179">
        <f>-'Sumaria contabilidad'!D126-'Sumaria contabilidad'!D117</f>
        <v>-92953525</v>
      </c>
      <c r="E13" s="177"/>
      <c r="H13" s="95"/>
    </row>
    <row r="14" spans="1:8" x14ac:dyDescent="0.2">
      <c r="A14" s="33" t="s">
        <v>449</v>
      </c>
      <c r="C14" s="181">
        <f>+C11+C12+C13</f>
        <v>7470535352.4799995</v>
      </c>
      <c r="D14" s="181">
        <f>+D11+D12+D13</f>
        <v>5358376792.5799999</v>
      </c>
      <c r="F14" s="30" t="s">
        <v>920</v>
      </c>
      <c r="G14" s="182">
        <f>+C14-C13-C10</f>
        <v>8218522640.4799995</v>
      </c>
      <c r="H14" s="95"/>
    </row>
    <row r="15" spans="1:8" x14ac:dyDescent="0.2">
      <c r="A15" s="33"/>
      <c r="B15" s="30" t="s">
        <v>146</v>
      </c>
      <c r="C15" s="176">
        <f>+'Sumaria contabilidad'!C93+'Sumaria contabilidad'!C94+'Sumaria contabilidad'!C96+'Sumaria contabilidad'!C97+'Sumaria contabilidad'!C98</f>
        <v>-75604049</v>
      </c>
      <c r="D15" s="176">
        <f>+'Sumaria contabilidad'!D93+'Sumaria contabilidad'!D94+'Sumaria contabilidad'!D96+'Sumaria contabilidad'!D97+'Sumaria contabilidad'!D98</f>
        <v>827699522.41999996</v>
      </c>
      <c r="E15" s="177"/>
      <c r="F15" s="177"/>
      <c r="H15" s="95"/>
    </row>
    <row r="16" spans="1:8" x14ac:dyDescent="0.2">
      <c r="A16" s="33"/>
      <c r="B16" s="30" t="s">
        <v>150</v>
      </c>
      <c r="C16" s="176">
        <f>-'Sumaria contabilidad'!C125</f>
        <v>-67876000</v>
      </c>
      <c r="D16" s="176">
        <f>-'Sumaria contabilidad'!D125</f>
        <v>-45826000</v>
      </c>
      <c r="E16" s="177"/>
      <c r="F16" s="177"/>
    </row>
    <row r="17" spans="1:6" x14ac:dyDescent="0.2">
      <c r="A17" s="33"/>
      <c r="B17" s="95" t="s">
        <v>2092</v>
      </c>
      <c r="C17" s="176">
        <f>+'Sumaria contabilidad'!C99</f>
        <v>22000000</v>
      </c>
      <c r="D17" s="176">
        <f>+'Sumaria contabilidad'!D99</f>
        <v>15000000</v>
      </c>
    </row>
    <row r="18" spans="1:6" x14ac:dyDescent="0.2">
      <c r="A18" s="33"/>
      <c r="B18" s="30" t="s">
        <v>450</v>
      </c>
      <c r="C18" s="176">
        <f>+'Sumaria contabilidad'!C91+'Sumaria contabilidad'!C92+'Sumaria contabilidad'!C95</f>
        <v>-16212236</v>
      </c>
      <c r="D18" s="176">
        <f>+'Sumaria contabilidad'!D91+'Sumaria contabilidad'!D92+'Sumaria contabilidad'!D95</f>
        <v>60189500</v>
      </c>
    </row>
    <row r="19" spans="1:6" x14ac:dyDescent="0.2">
      <c r="A19" s="33"/>
      <c r="B19" s="30" t="s">
        <v>126</v>
      </c>
      <c r="C19" s="176">
        <f>+'Sumaria contabilidad'!C90</f>
        <v>55985000</v>
      </c>
      <c r="D19" s="176">
        <f>+'Sumaria contabilidad'!D90</f>
        <v>58465000</v>
      </c>
      <c r="E19" s="177"/>
      <c r="F19" s="177"/>
    </row>
    <row r="20" spans="1:6" x14ac:dyDescent="0.2">
      <c r="A20" s="33"/>
      <c r="B20" s="30" t="s">
        <v>151</v>
      </c>
      <c r="C20" s="179">
        <f>-'Sumaria contabilidad'!C129</f>
        <v>0</v>
      </c>
      <c r="D20" s="179">
        <f>-'Sumaria contabilidad'!D129</f>
        <v>0</v>
      </c>
      <c r="E20" s="177"/>
      <c r="F20" s="177"/>
    </row>
    <row r="21" spans="1:6" x14ac:dyDescent="0.2">
      <c r="A21" s="33" t="s">
        <v>451</v>
      </c>
      <c r="C21" s="181">
        <f>SUM(C14:C20)</f>
        <v>7388828067.4799995</v>
      </c>
      <c r="D21" s="181">
        <f>SUM(D14:D20)</f>
        <v>6273904815</v>
      </c>
    </row>
    <row r="22" spans="1:6" x14ac:dyDescent="0.2">
      <c r="A22" s="33"/>
      <c r="B22" s="30" t="s">
        <v>931</v>
      </c>
      <c r="C22" s="179">
        <f>-'Sumaria contabilidad'!C134-'Sumaria contabilidad'!C135</f>
        <v>-1630638656.8090806</v>
      </c>
      <c r="D22" s="179">
        <f>-'Sumaria contabilidad'!D134-'Sumaria contabilidad'!D135</f>
        <v>-2116667790.5936911</v>
      </c>
      <c r="E22" s="177"/>
      <c r="F22" s="177"/>
    </row>
    <row r="23" spans="1:6" ht="13.5" thickBot="1" x14ac:dyDescent="0.25">
      <c r="A23" s="33" t="s">
        <v>932</v>
      </c>
      <c r="C23" s="183">
        <f>+C21+C22</f>
        <v>5758189410.6709194</v>
      </c>
      <c r="D23" s="183">
        <f>+D21+D22</f>
        <v>4157237024.4063091</v>
      </c>
    </row>
    <row r="24" spans="1:6" ht="13.5" thickTop="1" x14ac:dyDescent="0.2">
      <c r="A24" s="33"/>
    </row>
    <row r="25" spans="1:6" x14ac:dyDescent="0.2">
      <c r="A25" s="33"/>
      <c r="C25" s="184"/>
      <c r="D25" s="184"/>
    </row>
    <row r="26" spans="1:6" x14ac:dyDescent="0.2">
      <c r="A26" s="33"/>
      <c r="C26" s="185"/>
      <c r="D26" s="185"/>
    </row>
    <row r="27" spans="1:6" x14ac:dyDescent="0.2">
      <c r="A27" s="33"/>
      <c r="C27" s="184"/>
      <c r="D27" s="184"/>
    </row>
    <row r="28" spans="1:6" x14ac:dyDescent="0.2">
      <c r="A28" s="33"/>
      <c r="C28" s="1649">
        <f>+'Sumaria contabilidad'!C73-C23-'Cam pat'!D17</f>
        <v>0</v>
      </c>
      <c r="D28" s="1649">
        <f>+'Sumaria contabilidad'!D73-D23-'Cam pat'!D11</f>
        <v>0</v>
      </c>
    </row>
    <row r="29" spans="1:6" x14ac:dyDescent="0.2">
      <c r="B29" s="30" t="s">
        <v>920</v>
      </c>
      <c r="C29" s="184"/>
      <c r="D29" s="184"/>
    </row>
    <row r="30" spans="1:6" x14ac:dyDescent="0.2">
      <c r="B30" s="30" t="s">
        <v>933</v>
      </c>
      <c r="C30" s="184">
        <f>+C14</f>
        <v>7470535352.4799995</v>
      </c>
      <c r="D30" s="184">
        <f>+D14</f>
        <v>5358376792.5799999</v>
      </c>
    </row>
    <row r="31" spans="1:6" x14ac:dyDescent="0.2">
      <c r="B31" s="30" t="s">
        <v>934</v>
      </c>
      <c r="C31" s="184">
        <f>-C10-C13</f>
        <v>747987288</v>
      </c>
      <c r="D31" s="184">
        <f>-D10-D13</f>
        <v>754256057</v>
      </c>
    </row>
    <row r="32" spans="1:6" x14ac:dyDescent="0.2">
      <c r="B32" s="33" t="s">
        <v>920</v>
      </c>
      <c r="C32" s="185">
        <f>+C30+C31</f>
        <v>8218522640.4799995</v>
      </c>
      <c r="D32" s="185">
        <f>+D30+D31</f>
        <v>6112632849.5799999</v>
      </c>
    </row>
    <row r="33" spans="3:4" x14ac:dyDescent="0.2">
      <c r="C33" s="184"/>
      <c r="D33" s="184"/>
    </row>
    <row r="41" spans="3:4" s="95" customFormat="1" x14ac:dyDescent="0.2">
      <c r="C41" s="1648"/>
      <c r="D41" s="1648"/>
    </row>
    <row r="42" spans="3:4" s="95" customFormat="1" x14ac:dyDescent="0.2">
      <c r="C42" s="1648"/>
      <c r="D42" s="1648"/>
    </row>
    <row r="43" spans="3:4" s="95" customFormat="1" x14ac:dyDescent="0.2">
      <c r="C43" s="1648"/>
      <c r="D43" s="1648"/>
    </row>
    <row r="44" spans="3:4" s="95" customFormat="1" x14ac:dyDescent="0.2">
      <c r="C44" s="1648"/>
      <c r="D44" s="1648"/>
    </row>
    <row r="45" spans="3:4" s="95" customFormat="1" x14ac:dyDescent="0.2">
      <c r="C45" s="1648"/>
      <c r="D45" s="1648"/>
    </row>
    <row r="46" spans="3:4" s="95" customFormat="1" x14ac:dyDescent="0.2">
      <c r="C46" s="1648"/>
      <c r="D46" s="1648"/>
    </row>
    <row r="47" spans="3:4" s="95" customFormat="1" x14ac:dyDescent="0.2">
      <c r="C47" s="1648"/>
      <c r="D47" s="1648"/>
    </row>
    <row r="48" spans="3:4" s="95" customFormat="1" x14ac:dyDescent="0.2">
      <c r="C48" s="1648"/>
      <c r="D48" s="1648"/>
    </row>
    <row r="49" spans="3:4" s="95" customFormat="1" x14ac:dyDescent="0.2">
      <c r="C49" s="1648"/>
      <c r="D49" s="1648"/>
    </row>
    <row r="50" spans="3:4" s="95" customFormat="1" x14ac:dyDescent="0.2">
      <c r="C50" s="1648"/>
      <c r="D50" s="1648"/>
    </row>
    <row r="51" spans="3:4" s="95" customFormat="1" x14ac:dyDescent="0.2">
      <c r="C51" s="1648"/>
      <c r="D51" s="1648"/>
    </row>
    <row r="52" spans="3:4" s="95" customFormat="1" x14ac:dyDescent="0.2">
      <c r="C52" s="1648"/>
      <c r="D52" s="1648"/>
    </row>
    <row r="53" spans="3:4" s="95" customFormat="1" x14ac:dyDescent="0.2">
      <c r="C53" s="1648"/>
      <c r="D53" s="1648"/>
    </row>
    <row r="54" spans="3:4" s="95" customFormat="1" x14ac:dyDescent="0.2">
      <c r="C54" s="1648"/>
      <c r="D54" s="1648"/>
    </row>
    <row r="55" spans="3:4" s="95" customFormat="1" x14ac:dyDescent="0.2">
      <c r="C55" s="1648"/>
      <c r="D55" s="1648"/>
    </row>
    <row r="56" spans="3:4" s="95" customFormat="1" x14ac:dyDescent="0.2">
      <c r="C56" s="1648"/>
      <c r="D56" s="1648"/>
    </row>
    <row r="57" spans="3:4" s="95" customFormat="1" x14ac:dyDescent="0.2">
      <c r="C57" s="1648"/>
      <c r="D57" s="1648"/>
    </row>
    <row r="58" spans="3:4" s="95" customFormat="1" x14ac:dyDescent="0.2">
      <c r="C58" s="1648"/>
      <c r="D58" s="1648"/>
    </row>
    <row r="59" spans="3:4" s="95" customFormat="1" x14ac:dyDescent="0.2">
      <c r="C59" s="1648"/>
      <c r="D59" s="1648"/>
    </row>
    <row r="60" spans="3:4" s="95" customFormat="1" x14ac:dyDescent="0.2">
      <c r="C60" s="1648"/>
      <c r="D60" s="1648"/>
    </row>
    <row r="61" spans="3:4" s="95" customFormat="1" x14ac:dyDescent="0.2">
      <c r="C61" s="1648"/>
      <c r="D61" s="1648"/>
    </row>
    <row r="62" spans="3:4" s="95" customFormat="1" x14ac:dyDescent="0.2">
      <c r="C62" s="1648"/>
      <c r="D62" s="1648"/>
    </row>
    <row r="63" spans="3:4" s="95" customFormat="1" x14ac:dyDescent="0.2">
      <c r="C63" s="1648"/>
      <c r="D63" s="1648"/>
    </row>
    <row r="64" spans="3:4" s="95" customFormat="1" x14ac:dyDescent="0.2">
      <c r="C64" s="1648"/>
      <c r="D64" s="1648"/>
    </row>
    <row r="65" spans="3:4" s="95" customFormat="1" x14ac:dyDescent="0.2">
      <c r="C65" s="1648"/>
      <c r="D65" s="1648"/>
    </row>
    <row r="66" spans="3:4" s="95" customFormat="1" x14ac:dyDescent="0.2">
      <c r="C66" s="1648"/>
      <c r="D66" s="1648"/>
    </row>
    <row r="67" spans="3:4" s="95" customFormat="1" x14ac:dyDescent="0.2">
      <c r="C67" s="1648"/>
      <c r="D67" s="1648"/>
    </row>
    <row r="68" spans="3:4" s="95" customFormat="1" x14ac:dyDescent="0.2">
      <c r="C68" s="1648"/>
      <c r="D68" s="1648"/>
    </row>
    <row r="69" spans="3:4" s="95" customFormat="1" x14ac:dyDescent="0.2">
      <c r="C69" s="1648"/>
      <c r="D69" s="1648"/>
    </row>
    <row r="70" spans="3:4" s="95" customFormat="1" x14ac:dyDescent="0.2">
      <c r="C70" s="1648"/>
      <c r="D70" s="1648"/>
    </row>
    <row r="71" spans="3:4" s="95" customFormat="1" x14ac:dyDescent="0.2">
      <c r="C71" s="1648"/>
      <c r="D71" s="1648"/>
    </row>
    <row r="72" spans="3:4" s="95" customFormat="1" x14ac:dyDescent="0.2">
      <c r="C72" s="1648"/>
      <c r="D72" s="1648"/>
    </row>
    <row r="73" spans="3:4" s="95" customFormat="1" x14ac:dyDescent="0.2">
      <c r="C73" s="1648"/>
      <c r="D73" s="1648"/>
    </row>
    <row r="74" spans="3:4" s="95" customFormat="1" x14ac:dyDescent="0.2">
      <c r="C74" s="1648"/>
      <c r="D74" s="1648"/>
    </row>
    <row r="75" spans="3:4" s="95" customFormat="1" x14ac:dyDescent="0.2">
      <c r="C75" s="1648"/>
      <c r="D75" s="1648"/>
    </row>
    <row r="76" spans="3:4" s="95" customFormat="1" x14ac:dyDescent="0.2">
      <c r="C76" s="1648"/>
      <c r="D76" s="1648"/>
    </row>
    <row r="77" spans="3:4" s="95" customFormat="1" x14ac:dyDescent="0.2">
      <c r="C77" s="1648"/>
      <c r="D77" s="1648"/>
    </row>
    <row r="78" spans="3:4" s="95" customFormat="1" x14ac:dyDescent="0.2">
      <c r="C78" s="1648"/>
      <c r="D78" s="1648"/>
    </row>
    <row r="79" spans="3:4" s="95" customFormat="1" x14ac:dyDescent="0.2">
      <c r="C79" s="1648"/>
      <c r="D79" s="1648"/>
    </row>
    <row r="80" spans="3:4" s="95" customFormat="1" x14ac:dyDescent="0.2">
      <c r="C80" s="1648"/>
      <c r="D80" s="1648"/>
    </row>
    <row r="81" spans="3:4" s="95" customFormat="1" x14ac:dyDescent="0.2">
      <c r="C81" s="1648"/>
      <c r="D81" s="1648"/>
    </row>
    <row r="82" spans="3:4" s="95" customFormat="1" x14ac:dyDescent="0.2">
      <c r="C82" s="1648"/>
      <c r="D82" s="1648"/>
    </row>
    <row r="83" spans="3:4" s="95" customFormat="1" x14ac:dyDescent="0.2">
      <c r="C83" s="1648"/>
      <c r="D83" s="1648"/>
    </row>
    <row r="84" spans="3:4" s="95" customFormat="1" x14ac:dyDescent="0.2">
      <c r="C84" s="1648"/>
      <c r="D84" s="1648"/>
    </row>
    <row r="85" spans="3:4" s="95" customFormat="1" x14ac:dyDescent="0.2">
      <c r="C85" s="1648"/>
      <c r="D85" s="1648"/>
    </row>
    <row r="86" spans="3:4" s="95" customFormat="1" x14ac:dyDescent="0.2">
      <c r="C86" s="1648"/>
      <c r="D86" s="1648"/>
    </row>
    <row r="87" spans="3:4" s="95" customFormat="1" x14ac:dyDescent="0.2">
      <c r="C87" s="1648"/>
      <c r="D87" s="1648"/>
    </row>
    <row r="88" spans="3:4" s="95" customFormat="1" x14ac:dyDescent="0.2">
      <c r="C88" s="1648"/>
      <c r="D88" s="1648"/>
    </row>
    <row r="89" spans="3:4" s="95" customFormat="1" x14ac:dyDescent="0.2">
      <c r="C89" s="1648"/>
      <c r="D89" s="1648"/>
    </row>
    <row r="90" spans="3:4" s="95" customFormat="1" x14ac:dyDescent="0.2">
      <c r="C90" s="1648"/>
      <c r="D90" s="1648"/>
    </row>
    <row r="91" spans="3:4" s="95" customFormat="1" x14ac:dyDescent="0.2">
      <c r="C91" s="1648"/>
      <c r="D91" s="1648"/>
    </row>
    <row r="92" spans="3:4" s="95" customFormat="1" x14ac:dyDescent="0.2">
      <c r="C92" s="1648"/>
      <c r="D92" s="1648"/>
    </row>
    <row r="93" spans="3:4" s="95" customFormat="1" x14ac:dyDescent="0.2">
      <c r="C93" s="1648"/>
      <c r="D93" s="1648"/>
    </row>
    <row r="94" spans="3:4" s="95" customFormat="1" x14ac:dyDescent="0.2">
      <c r="C94" s="1648"/>
      <c r="D94" s="1648"/>
    </row>
    <row r="95" spans="3:4" s="95" customFormat="1" x14ac:dyDescent="0.2">
      <c r="C95" s="1648"/>
      <c r="D95" s="1648"/>
    </row>
    <row r="96" spans="3:4" s="95" customFormat="1" x14ac:dyDescent="0.2">
      <c r="C96" s="1648"/>
      <c r="D96" s="1648"/>
    </row>
    <row r="97" spans="3:4" s="95" customFormat="1" x14ac:dyDescent="0.2">
      <c r="C97" s="1648"/>
      <c r="D97" s="1648"/>
    </row>
    <row r="98" spans="3:4" s="95" customFormat="1" x14ac:dyDescent="0.2">
      <c r="C98" s="1648"/>
      <c r="D98" s="1648"/>
    </row>
    <row r="99" spans="3:4" s="95" customFormat="1" x14ac:dyDescent="0.2">
      <c r="C99" s="1648"/>
      <c r="D99" s="1648"/>
    </row>
    <row r="100" spans="3:4" s="95" customFormat="1" x14ac:dyDescent="0.2">
      <c r="C100" s="1648"/>
      <c r="D100" s="1648"/>
    </row>
    <row r="101" spans="3:4" s="95" customFormat="1" x14ac:dyDescent="0.2">
      <c r="C101" s="1648"/>
      <c r="D101" s="1648"/>
    </row>
    <row r="102" spans="3:4" s="95" customFormat="1" x14ac:dyDescent="0.2">
      <c r="C102" s="1648"/>
      <c r="D102" s="1648"/>
    </row>
    <row r="103" spans="3:4" s="95" customFormat="1" x14ac:dyDescent="0.2">
      <c r="C103" s="1648"/>
      <c r="D103" s="1648"/>
    </row>
    <row r="104" spans="3:4" s="95" customFormat="1" x14ac:dyDescent="0.2">
      <c r="C104" s="1648"/>
      <c r="D104" s="1648"/>
    </row>
    <row r="105" spans="3:4" s="95" customFormat="1" x14ac:dyDescent="0.2">
      <c r="C105" s="1648"/>
      <c r="D105" s="1648"/>
    </row>
    <row r="106" spans="3:4" s="95" customFormat="1" x14ac:dyDescent="0.2">
      <c r="C106" s="1648"/>
      <c r="D106" s="1648"/>
    </row>
    <row r="107" spans="3:4" s="95" customFormat="1" x14ac:dyDescent="0.2">
      <c r="C107" s="1648"/>
      <c r="D107" s="1648"/>
    </row>
    <row r="108" spans="3:4" s="95" customFormat="1" x14ac:dyDescent="0.2">
      <c r="C108" s="1648"/>
      <c r="D108" s="1648"/>
    </row>
    <row r="109" spans="3:4" s="95" customFormat="1" x14ac:dyDescent="0.2">
      <c r="C109" s="1648"/>
      <c r="D109" s="1648"/>
    </row>
    <row r="110" spans="3:4" s="95" customFormat="1" x14ac:dyDescent="0.2">
      <c r="C110" s="1648"/>
      <c r="D110" s="1648"/>
    </row>
    <row r="111" spans="3:4" s="95" customFormat="1" x14ac:dyDescent="0.2">
      <c r="C111" s="1648"/>
      <c r="D111" s="1648"/>
    </row>
    <row r="112" spans="3:4" s="95" customFormat="1" x14ac:dyDescent="0.2">
      <c r="C112" s="1648"/>
      <c r="D112" s="1648"/>
    </row>
    <row r="113" spans="3:4" s="95" customFormat="1" x14ac:dyDescent="0.2">
      <c r="C113" s="1648"/>
      <c r="D113" s="1648"/>
    </row>
    <row r="114" spans="3:4" s="95" customFormat="1" x14ac:dyDescent="0.2">
      <c r="C114" s="1648"/>
      <c r="D114" s="1648"/>
    </row>
    <row r="115" spans="3:4" s="95" customFormat="1" x14ac:dyDescent="0.2">
      <c r="C115" s="1648"/>
      <c r="D115" s="1648"/>
    </row>
    <row r="116" spans="3:4" s="95" customFormat="1" x14ac:dyDescent="0.2">
      <c r="C116" s="1648"/>
      <c r="D116" s="1648"/>
    </row>
    <row r="117" spans="3:4" s="95" customFormat="1" x14ac:dyDescent="0.2">
      <c r="C117" s="1648"/>
      <c r="D117" s="1648"/>
    </row>
    <row r="118" spans="3:4" s="95" customFormat="1" x14ac:dyDescent="0.2">
      <c r="C118" s="1648"/>
      <c r="D118" s="1648"/>
    </row>
    <row r="119" spans="3:4" s="95" customFormat="1" x14ac:dyDescent="0.2">
      <c r="C119" s="1648"/>
      <c r="D119" s="1648"/>
    </row>
    <row r="120" spans="3:4" s="95" customFormat="1" x14ac:dyDescent="0.2">
      <c r="C120" s="1648"/>
      <c r="D120" s="1648"/>
    </row>
    <row r="121" spans="3:4" s="95" customFormat="1" x14ac:dyDescent="0.2">
      <c r="C121" s="1648"/>
      <c r="D121" s="1648"/>
    </row>
    <row r="122" spans="3:4" s="95" customFormat="1" x14ac:dyDescent="0.2">
      <c r="C122" s="1648"/>
      <c r="D122" s="1648"/>
    </row>
    <row r="123" spans="3:4" s="95" customFormat="1" x14ac:dyDescent="0.2">
      <c r="C123" s="1648"/>
      <c r="D123" s="1648"/>
    </row>
    <row r="124" spans="3:4" s="95" customFormat="1" x14ac:dyDescent="0.2">
      <c r="C124" s="1648"/>
      <c r="D124" s="1648"/>
    </row>
    <row r="125" spans="3:4" s="95" customFormat="1" x14ac:dyDescent="0.2">
      <c r="C125" s="1648"/>
      <c r="D125" s="1648"/>
    </row>
    <row r="126" spans="3:4" s="95" customFormat="1" x14ac:dyDescent="0.2">
      <c r="C126" s="1648"/>
      <c r="D126" s="1648"/>
    </row>
    <row r="127" spans="3:4" s="95" customFormat="1" x14ac:dyDescent="0.2">
      <c r="C127" s="1648"/>
      <c r="D127" s="1648"/>
    </row>
    <row r="128" spans="3:4" s="95" customFormat="1" x14ac:dyDescent="0.2">
      <c r="C128" s="1648"/>
      <c r="D128" s="1648"/>
    </row>
    <row r="129" spans="3:4" s="95" customFormat="1" x14ac:dyDescent="0.2">
      <c r="C129" s="1648"/>
      <c r="D129" s="1648"/>
    </row>
    <row r="130" spans="3:4" s="95" customFormat="1" x14ac:dyDescent="0.2">
      <c r="C130" s="1648"/>
      <c r="D130" s="1648"/>
    </row>
    <row r="131" spans="3:4" s="95" customFormat="1" x14ac:dyDescent="0.2">
      <c r="C131" s="1648"/>
      <c r="D131" s="1648"/>
    </row>
    <row r="132" spans="3:4" s="95" customFormat="1" x14ac:dyDescent="0.2">
      <c r="C132" s="1648"/>
      <c r="D132" s="1648"/>
    </row>
    <row r="133" spans="3:4" s="95" customFormat="1" x14ac:dyDescent="0.2">
      <c r="C133" s="1648"/>
      <c r="D133" s="1648"/>
    </row>
    <row r="134" spans="3:4" s="95" customFormat="1" x14ac:dyDescent="0.2">
      <c r="C134" s="1648"/>
      <c r="D134" s="1648"/>
    </row>
    <row r="135" spans="3:4" s="95" customFormat="1" x14ac:dyDescent="0.2">
      <c r="C135" s="1648"/>
      <c r="D135" s="1648"/>
    </row>
    <row r="136" spans="3:4" s="95" customFormat="1" x14ac:dyDescent="0.2">
      <c r="C136" s="1648"/>
      <c r="D136" s="1648"/>
    </row>
    <row r="137" spans="3:4" s="95" customFormat="1" x14ac:dyDescent="0.2">
      <c r="C137" s="1648"/>
      <c r="D137" s="1648"/>
    </row>
    <row r="138" spans="3:4" s="95" customFormat="1" x14ac:dyDescent="0.2">
      <c r="C138" s="1648"/>
      <c r="D138" s="1648"/>
    </row>
    <row r="139" spans="3:4" s="95" customFormat="1" x14ac:dyDescent="0.2">
      <c r="C139" s="1648"/>
      <c r="D139" s="1648"/>
    </row>
    <row r="140" spans="3:4" s="95" customFormat="1" x14ac:dyDescent="0.2">
      <c r="C140" s="1648"/>
      <c r="D140" s="1648"/>
    </row>
    <row r="141" spans="3:4" s="95" customFormat="1" x14ac:dyDescent="0.2">
      <c r="C141" s="1648"/>
      <c r="D141" s="1648"/>
    </row>
    <row r="142" spans="3:4" s="95" customFormat="1" x14ac:dyDescent="0.2">
      <c r="C142" s="1648"/>
      <c r="D142" s="1648"/>
    </row>
    <row r="143" spans="3:4" s="95" customFormat="1" x14ac:dyDescent="0.2">
      <c r="C143" s="1648"/>
      <c r="D143" s="1648"/>
    </row>
    <row r="144" spans="3:4" s="95" customFormat="1" x14ac:dyDescent="0.2">
      <c r="C144" s="1648"/>
      <c r="D144" s="1648"/>
    </row>
    <row r="145" spans="3:4" s="95" customFormat="1" x14ac:dyDescent="0.2">
      <c r="C145" s="1648"/>
      <c r="D145" s="1648"/>
    </row>
    <row r="146" spans="3:4" s="95" customFormat="1" x14ac:dyDescent="0.2">
      <c r="C146" s="1648"/>
      <c r="D146" s="1648"/>
    </row>
    <row r="147" spans="3:4" s="95" customFormat="1" x14ac:dyDescent="0.2">
      <c r="C147" s="1648"/>
      <c r="D147" s="1648"/>
    </row>
    <row r="148" spans="3:4" s="95" customFormat="1" x14ac:dyDescent="0.2">
      <c r="C148" s="1648"/>
      <c r="D148" s="1648"/>
    </row>
    <row r="149" spans="3:4" s="95" customFormat="1" x14ac:dyDescent="0.2">
      <c r="C149" s="1648"/>
      <c r="D149" s="1648"/>
    </row>
    <row r="150" spans="3:4" s="95" customFormat="1" x14ac:dyDescent="0.2">
      <c r="C150" s="1648"/>
      <c r="D150" s="1648"/>
    </row>
    <row r="151" spans="3:4" s="95" customFormat="1" x14ac:dyDescent="0.2">
      <c r="C151" s="1648"/>
      <c r="D151" s="1648"/>
    </row>
    <row r="152" spans="3:4" s="95" customFormat="1" x14ac:dyDescent="0.2">
      <c r="C152" s="1648"/>
      <c r="D152" s="1648"/>
    </row>
    <row r="153" spans="3:4" s="95" customFormat="1" x14ac:dyDescent="0.2">
      <c r="C153" s="1648"/>
      <c r="D153" s="1648"/>
    </row>
    <row r="154" spans="3:4" s="95" customFormat="1" x14ac:dyDescent="0.2">
      <c r="C154" s="1648"/>
      <c r="D154" s="1648"/>
    </row>
    <row r="155" spans="3:4" s="95" customFormat="1" x14ac:dyDescent="0.2">
      <c r="C155" s="1648"/>
      <c r="D155" s="1648"/>
    </row>
    <row r="156" spans="3:4" s="95" customFormat="1" x14ac:dyDescent="0.2">
      <c r="C156" s="1648"/>
      <c r="D156" s="1648"/>
    </row>
    <row r="157" spans="3:4" s="95" customFormat="1" x14ac:dyDescent="0.2">
      <c r="C157" s="1648"/>
      <c r="D157" s="1648"/>
    </row>
    <row r="158" spans="3:4" s="95" customFormat="1" x14ac:dyDescent="0.2">
      <c r="C158" s="1648"/>
      <c r="D158" s="1648"/>
    </row>
    <row r="159" spans="3:4" s="95" customFormat="1" x14ac:dyDescent="0.2">
      <c r="C159" s="1648"/>
      <c r="D159" s="1648"/>
    </row>
    <row r="160" spans="3:4" s="95" customFormat="1" x14ac:dyDescent="0.2">
      <c r="C160" s="1648"/>
      <c r="D160" s="1648"/>
    </row>
    <row r="161" spans="3:4" s="95" customFormat="1" x14ac:dyDescent="0.2">
      <c r="C161" s="1648"/>
      <c r="D161" s="1648"/>
    </row>
    <row r="162" spans="3:4" s="95" customFormat="1" x14ac:dyDescent="0.2">
      <c r="C162" s="1648"/>
      <c r="D162" s="1648"/>
    </row>
    <row r="163" spans="3:4" s="95" customFormat="1" x14ac:dyDescent="0.2">
      <c r="C163" s="1648"/>
      <c r="D163" s="1648"/>
    </row>
    <row r="164" spans="3:4" s="95" customFormat="1" x14ac:dyDescent="0.2">
      <c r="C164" s="1648"/>
      <c r="D164" s="1648"/>
    </row>
    <row r="165" spans="3:4" s="95" customFormat="1" x14ac:dyDescent="0.2">
      <c r="C165" s="1648"/>
      <c r="D165" s="1648"/>
    </row>
    <row r="166" spans="3:4" s="95" customFormat="1" x14ac:dyDescent="0.2">
      <c r="C166" s="1648"/>
      <c r="D166" s="1648"/>
    </row>
    <row r="167" spans="3:4" s="95" customFormat="1" x14ac:dyDescent="0.2">
      <c r="C167" s="1648"/>
      <c r="D167" s="1648"/>
    </row>
    <row r="168" spans="3:4" s="95" customFormat="1" x14ac:dyDescent="0.2">
      <c r="C168" s="1648"/>
      <c r="D168" s="1648"/>
    </row>
    <row r="169" spans="3:4" s="95" customFormat="1" x14ac:dyDescent="0.2">
      <c r="C169" s="1648"/>
      <c r="D169" s="1648"/>
    </row>
    <row r="170" spans="3:4" s="95" customFormat="1" x14ac:dyDescent="0.2">
      <c r="C170" s="1648"/>
      <c r="D170" s="1648"/>
    </row>
    <row r="171" spans="3:4" s="95" customFormat="1" x14ac:dyDescent="0.2">
      <c r="C171" s="1648"/>
      <c r="D171" s="1648"/>
    </row>
    <row r="172" spans="3:4" s="95" customFormat="1" x14ac:dyDescent="0.2">
      <c r="C172" s="1648"/>
      <c r="D172" s="1648"/>
    </row>
    <row r="173" spans="3:4" s="95" customFormat="1" x14ac:dyDescent="0.2">
      <c r="C173" s="1648"/>
      <c r="D173" s="1648"/>
    </row>
    <row r="174" spans="3:4" s="95" customFormat="1" x14ac:dyDescent="0.2">
      <c r="C174" s="1648"/>
      <c r="D174" s="1648"/>
    </row>
    <row r="175" spans="3:4" s="95" customFormat="1" x14ac:dyDescent="0.2">
      <c r="C175" s="1648"/>
      <c r="D175" s="1648"/>
    </row>
    <row r="176" spans="3:4" s="95" customFormat="1" x14ac:dyDescent="0.2">
      <c r="C176" s="1648"/>
      <c r="D176" s="1648"/>
    </row>
  </sheetData>
  <mergeCells count="4">
    <mergeCell ref="B1:D1"/>
    <mergeCell ref="B2:D2"/>
    <mergeCell ref="B3:D3"/>
    <mergeCell ref="C5:D5"/>
  </mergeCells>
  <pageMargins left="0.7" right="0.7" top="0.75" bottom="0.75" header="0.3" footer="0.3"/>
  <pageSetup scale="87" fitToHeight="0" orientation="portrait" horizontalDpi="4294967293" verticalDpi="4294967293"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H37"/>
  <sheetViews>
    <sheetView showGridLines="0" zoomScale="85" zoomScaleNormal="85" workbookViewId="0">
      <selection activeCell="C25" sqref="C25"/>
    </sheetView>
  </sheetViews>
  <sheetFormatPr baseColWidth="10" defaultRowHeight="15" x14ac:dyDescent="0.2"/>
  <cols>
    <col min="1" max="1" width="4.7109375" style="35" customWidth="1"/>
    <col min="2" max="2" width="31.42578125" style="38" customWidth="1"/>
    <col min="3" max="3" width="27" style="38" customWidth="1"/>
    <col min="4" max="6" width="27" style="35" customWidth="1"/>
    <col min="7" max="7" width="20.42578125" style="35" bestFit="1" customWidth="1"/>
    <col min="8" max="8" width="18.7109375" style="35" bestFit="1" customWidth="1"/>
    <col min="9" max="16384" width="11.42578125" style="35"/>
  </cols>
  <sheetData>
    <row r="1" spans="1:8" ht="15.75" x14ac:dyDescent="0.25">
      <c r="A1" s="1575" t="s">
        <v>453</v>
      </c>
      <c r="B1" s="1575"/>
      <c r="C1" s="1575"/>
      <c r="D1" s="1575"/>
      <c r="E1" s="1575"/>
    </row>
    <row r="2" spans="1:8" ht="15.75" x14ac:dyDescent="0.25">
      <c r="A2" s="1575" t="str">
        <f>+ERI!B2</f>
        <v>Empresa LVG SAS</v>
      </c>
      <c r="B2" s="1575"/>
      <c r="C2" s="1575"/>
      <c r="D2" s="1575"/>
      <c r="E2" s="1575"/>
    </row>
    <row r="3" spans="1:8" ht="15.75" x14ac:dyDescent="0.25">
      <c r="A3" s="1575" t="str">
        <f>+ERI!B3</f>
        <v>Por el periodo terminado a diciembre 31 de 20x3 y comparado con 20x2</v>
      </c>
      <c r="B3" s="1575"/>
      <c r="C3" s="1575"/>
      <c r="D3" s="1575"/>
      <c r="E3" s="1575"/>
    </row>
    <row r="6" spans="1:8" ht="15.75" x14ac:dyDescent="0.25">
      <c r="A6" s="36"/>
      <c r="B6" s="37"/>
    </row>
    <row r="7" spans="1:8" ht="15.75" x14ac:dyDescent="0.25">
      <c r="A7" s="39"/>
      <c r="B7" s="39"/>
      <c r="C7" s="1576"/>
      <c r="D7" s="1576"/>
      <c r="E7" s="1576"/>
    </row>
    <row r="8" spans="1:8" ht="31.5" x14ac:dyDescent="0.25">
      <c r="A8" s="39"/>
      <c r="B8" s="40"/>
      <c r="C8" s="93" t="s">
        <v>441</v>
      </c>
      <c r="D8" s="93" t="s">
        <v>454</v>
      </c>
      <c r="E8" s="93" t="s">
        <v>145</v>
      </c>
      <c r="F8" s="93" t="s">
        <v>455</v>
      </c>
    </row>
    <row r="9" spans="1:8" ht="15.75" x14ac:dyDescent="0.25">
      <c r="A9" s="41" t="s">
        <v>2147</v>
      </c>
      <c r="B9" s="40"/>
      <c r="C9" s="124">
        <f>+ESF!E41</f>
        <v>8500000000</v>
      </c>
      <c r="D9" s="124">
        <f>+ESF!E43</f>
        <v>2093923417.26</v>
      </c>
      <c r="E9" s="124">
        <f>+ESF!E42</f>
        <v>0</v>
      </c>
      <c r="F9" s="125">
        <f>SUM(C9:E9)</f>
        <v>10593923417.26</v>
      </c>
      <c r="H9" s="44">
        <f>+F9-ESF!E44</f>
        <v>0</v>
      </c>
    </row>
    <row r="10" spans="1:8" ht="15.75" x14ac:dyDescent="0.25">
      <c r="A10" s="42"/>
      <c r="B10" s="43" t="s">
        <v>456</v>
      </c>
      <c r="C10" s="126"/>
      <c r="D10" s="126">
        <f>+ERI!D23</f>
        <v>4157237024.4063091</v>
      </c>
      <c r="E10" s="126"/>
      <c r="F10" s="126">
        <f>+SUM(C10:E10)</f>
        <v>4157237024.4063091</v>
      </c>
      <c r="H10" s="42"/>
    </row>
    <row r="11" spans="1:8" ht="15.75" x14ac:dyDescent="0.25">
      <c r="A11" s="42"/>
      <c r="B11" s="43" t="s">
        <v>457</v>
      </c>
      <c r="C11" s="127"/>
      <c r="D11" s="128">
        <f>+E31</f>
        <v>-368291031.00000167</v>
      </c>
      <c r="E11" s="127"/>
      <c r="F11" s="128">
        <f>+SUM(C11:E11)</f>
        <v>-368291031.00000167</v>
      </c>
      <c r="H11" s="42"/>
    </row>
    <row r="12" spans="1:8" ht="15.75" x14ac:dyDescent="0.25">
      <c r="A12" s="41" t="s">
        <v>2146</v>
      </c>
      <c r="B12" s="40"/>
      <c r="C12" s="124">
        <f>SUM(C9:C11)</f>
        <v>8500000000</v>
      </c>
      <c r="D12" s="124">
        <f>SUM(D9:D11)</f>
        <v>5882869410.6663074</v>
      </c>
      <c r="E12" s="124">
        <f>SUM(E9:E11)</f>
        <v>0</v>
      </c>
      <c r="F12" s="125">
        <f>SUM(C12:E12)</f>
        <v>14382869410.666307</v>
      </c>
      <c r="H12" s="44">
        <f>+F12-ESF!D44</f>
        <v>0</v>
      </c>
    </row>
    <row r="13" spans="1:8" ht="15.75" x14ac:dyDescent="0.25">
      <c r="B13" s="43" t="s">
        <v>456</v>
      </c>
      <c r="C13" s="126"/>
      <c r="D13" s="126">
        <f>+ERI!C23</f>
        <v>5758189410.6709194</v>
      </c>
      <c r="E13" s="126"/>
      <c r="F13" s="126">
        <f>+SUM(C13:E13)</f>
        <v>5758189410.6709194</v>
      </c>
      <c r="H13" s="42"/>
    </row>
    <row r="14" spans="1:8" ht="15.75" x14ac:dyDescent="0.25">
      <c r="B14" s="43" t="s">
        <v>922</v>
      </c>
      <c r="C14" s="126"/>
      <c r="D14" s="126"/>
      <c r="E14" s="126">
        <v>0</v>
      </c>
      <c r="F14" s="126">
        <f>+SUM(C14:E14)</f>
        <v>0</v>
      </c>
      <c r="H14" s="42"/>
    </row>
    <row r="15" spans="1:8" ht="15.75" x14ac:dyDescent="0.25">
      <c r="B15" s="43" t="s">
        <v>923</v>
      </c>
      <c r="C15" s="126"/>
      <c r="D15" s="126"/>
      <c r="E15" s="126">
        <v>0</v>
      </c>
      <c r="F15" s="126">
        <f>+SUM(C15:E15)</f>
        <v>0</v>
      </c>
      <c r="H15" s="42"/>
    </row>
    <row r="16" spans="1:8" ht="15.75" x14ac:dyDescent="0.25">
      <c r="B16" s="43" t="s">
        <v>924</v>
      </c>
      <c r="C16" s="126"/>
      <c r="D16" s="126"/>
      <c r="E16" s="129">
        <v>0</v>
      </c>
      <c r="F16" s="126">
        <f>+SUM(C16:E16)</f>
        <v>0</v>
      </c>
      <c r="H16" s="42"/>
    </row>
    <row r="17" spans="1:8" ht="15.75" x14ac:dyDescent="0.25">
      <c r="B17" s="43" t="s">
        <v>457</v>
      </c>
      <c r="C17" s="126"/>
      <c r="D17" s="129">
        <f>+D31</f>
        <v>-304608339.00000191</v>
      </c>
      <c r="E17" s="126"/>
      <c r="F17" s="126">
        <f>+SUM(C17:E17)</f>
        <v>-304608339.00000191</v>
      </c>
      <c r="H17" s="42"/>
    </row>
    <row r="18" spans="1:8" ht="16.5" thickBot="1" x14ac:dyDescent="0.3">
      <c r="A18" s="41" t="s">
        <v>2148</v>
      </c>
      <c r="B18" s="40"/>
      <c r="C18" s="130">
        <f>SUM(C12:C17)</f>
        <v>8500000000</v>
      </c>
      <c r="D18" s="130">
        <f>SUM(D12:D17)</f>
        <v>11336450482.337225</v>
      </c>
      <c r="E18" s="130">
        <f>SUM(E12:E17)</f>
        <v>0</v>
      </c>
      <c r="F18" s="130">
        <f>SUM(C18:E18)</f>
        <v>19836450482.337227</v>
      </c>
      <c r="H18" s="44">
        <f>+F18-ESF!C44</f>
        <v>0</v>
      </c>
    </row>
    <row r="19" spans="1:8" ht="16.5" thickTop="1" x14ac:dyDescent="0.25">
      <c r="B19" s="35"/>
      <c r="C19" s="131"/>
      <c r="D19" s="131"/>
      <c r="E19" s="131"/>
      <c r="F19" s="131"/>
      <c r="H19" s="42"/>
    </row>
    <row r="20" spans="1:8" ht="15.75" x14ac:dyDescent="0.25">
      <c r="C20" s="131"/>
      <c r="D20" s="131"/>
      <c r="E20" s="131"/>
      <c r="F20" s="131"/>
      <c r="H20" s="42"/>
    </row>
    <row r="21" spans="1:8" ht="15.75" x14ac:dyDescent="0.25">
      <c r="C21" s="132"/>
      <c r="D21" s="132"/>
      <c r="E21" s="131"/>
      <c r="F21" s="131"/>
      <c r="G21" s="42"/>
    </row>
    <row r="22" spans="1:8" ht="15.75" x14ac:dyDescent="0.25">
      <c r="C22" s="132">
        <f>+C18-C21</f>
        <v>8500000000</v>
      </c>
      <c r="D22" s="132">
        <f>+D18-D21</f>
        <v>11336450482.337225</v>
      </c>
      <c r="E22" s="131"/>
      <c r="F22" s="131"/>
      <c r="G22" s="42"/>
    </row>
    <row r="23" spans="1:8" x14ac:dyDescent="0.2">
      <c r="C23" s="131"/>
      <c r="D23" s="131"/>
      <c r="E23" s="131"/>
      <c r="F23" s="131"/>
    </row>
    <row r="24" spans="1:8" x14ac:dyDescent="0.2">
      <c r="C24" s="131"/>
      <c r="D24" s="131"/>
      <c r="E24" s="131"/>
      <c r="F24" s="131"/>
    </row>
    <row r="25" spans="1:8" x14ac:dyDescent="0.2">
      <c r="C25" s="131"/>
      <c r="D25" s="131"/>
      <c r="E25" s="131"/>
      <c r="F25" s="131"/>
    </row>
    <row r="26" spans="1:8" x14ac:dyDescent="0.2">
      <c r="C26" s="131"/>
      <c r="D26" s="131"/>
      <c r="E26" s="131"/>
      <c r="F26" s="131"/>
    </row>
    <row r="27" spans="1:8" ht="15.75" x14ac:dyDescent="0.25">
      <c r="B27" s="90"/>
      <c r="C27" s="133"/>
      <c r="D27" s="134" t="s">
        <v>2149</v>
      </c>
      <c r="E27" s="134" t="s">
        <v>2150</v>
      </c>
      <c r="F27" s="131"/>
    </row>
    <row r="28" spans="1:8" x14ac:dyDescent="0.2">
      <c r="B28" s="90" t="s">
        <v>458</v>
      </c>
      <c r="C28" s="133"/>
      <c r="D28" s="135">
        <f>+ESF!D43</f>
        <v>5882869410.6663074</v>
      </c>
      <c r="E28" s="135">
        <f>+ESF!E43</f>
        <v>2093923417.26</v>
      </c>
      <c r="F28" s="131"/>
    </row>
    <row r="29" spans="1:8" x14ac:dyDescent="0.2">
      <c r="B29" s="90" t="s">
        <v>459</v>
      </c>
      <c r="C29" s="133"/>
      <c r="D29" s="135">
        <f>+ERI!C23</f>
        <v>5758189410.6709194</v>
      </c>
      <c r="E29" s="135">
        <f>+ERI!D23</f>
        <v>4157237024.4063091</v>
      </c>
      <c r="F29" s="131"/>
    </row>
    <row r="30" spans="1:8" x14ac:dyDescent="0.2">
      <c r="B30" s="90" t="s">
        <v>460</v>
      </c>
      <c r="C30" s="133"/>
      <c r="D30" s="135">
        <f>+ESF!C43</f>
        <v>11336450482.337225</v>
      </c>
      <c r="E30" s="135">
        <f>+ESF!D43</f>
        <v>5882869410.6663074</v>
      </c>
      <c r="F30" s="131"/>
    </row>
    <row r="31" spans="1:8" ht="15.75" x14ac:dyDescent="0.25">
      <c r="B31" s="91" t="s">
        <v>461</v>
      </c>
      <c r="C31" s="136"/>
      <c r="D31" s="136">
        <f>+D30-D29-D28</f>
        <v>-304608339.00000191</v>
      </c>
      <c r="E31" s="136">
        <f>+E30-E29-E28</f>
        <v>-368291031.00000167</v>
      </c>
      <c r="F31" s="131"/>
    </row>
    <row r="32" spans="1:8" x14ac:dyDescent="0.2">
      <c r="C32" s="131"/>
      <c r="D32" s="137"/>
      <c r="E32" s="137"/>
      <c r="F32" s="131"/>
    </row>
    <row r="33" spans="2:6" x14ac:dyDescent="0.2">
      <c r="C33" s="131"/>
      <c r="D33" s="131"/>
      <c r="E33" s="131"/>
      <c r="F33" s="131"/>
    </row>
    <row r="34" spans="2:6" x14ac:dyDescent="0.2">
      <c r="C34" s="131" t="s">
        <v>853</v>
      </c>
      <c r="D34" s="131"/>
      <c r="E34" s="131"/>
      <c r="F34" s="131"/>
    </row>
    <row r="35" spans="2:6" x14ac:dyDescent="0.2">
      <c r="C35" s="131"/>
      <c r="D35" s="131"/>
      <c r="E35" s="131"/>
      <c r="F35" s="131"/>
    </row>
    <row r="36" spans="2:6" ht="15.75" x14ac:dyDescent="0.25">
      <c r="B36" s="94" t="s">
        <v>921</v>
      </c>
      <c r="C36" s="131"/>
      <c r="D36" s="138">
        <v>0</v>
      </c>
      <c r="E36" s="138">
        <v>0</v>
      </c>
      <c r="F36" s="131"/>
    </row>
    <row r="37" spans="2:6" x14ac:dyDescent="0.2">
      <c r="D37" s="35">
        <f>+D36+D31</f>
        <v>-304608339.00000191</v>
      </c>
      <c r="E37" s="35">
        <f>+E36+E31</f>
        <v>-368291031.00000167</v>
      </c>
    </row>
  </sheetData>
  <mergeCells count="4">
    <mergeCell ref="A1:E1"/>
    <mergeCell ref="A2:E2"/>
    <mergeCell ref="A3:E3"/>
    <mergeCell ref="C7:E7"/>
  </mergeCells>
  <pageMargins left="0.7" right="0.7" top="0.75" bottom="0.75" header="0.3" footer="0.3"/>
  <pageSetup scale="91" fitToHeight="0" orientation="portrait" horizontalDpi="4294967292" verticalDpi="4294967293"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O75"/>
  <sheetViews>
    <sheetView showGridLines="0" topLeftCell="A40" zoomScale="85" zoomScaleNormal="85" workbookViewId="0">
      <selection activeCell="D54" sqref="D54"/>
    </sheetView>
  </sheetViews>
  <sheetFormatPr baseColWidth="10" defaultRowHeight="15" x14ac:dyDescent="0.2"/>
  <cols>
    <col min="1" max="1" width="4.28515625" style="35" customWidth="1"/>
    <col min="2" max="2" width="60.42578125" style="35" customWidth="1"/>
    <col min="3" max="4" width="28.42578125" style="50" customWidth="1"/>
    <col min="5" max="5" width="41" style="45" customWidth="1"/>
    <col min="6" max="6" width="30.140625" style="35" customWidth="1"/>
    <col min="7" max="7" width="31.42578125" style="35" customWidth="1"/>
    <col min="8" max="9" width="24" style="35" customWidth="1"/>
    <col min="10" max="10" width="22.42578125" style="35" customWidth="1"/>
    <col min="11" max="12" width="25" style="35" customWidth="1"/>
    <col min="13" max="16384" width="11.42578125" style="35"/>
  </cols>
  <sheetData>
    <row r="1" spans="1:4" ht="15.75" x14ac:dyDescent="0.25">
      <c r="B1" s="1575" t="s">
        <v>462</v>
      </c>
      <c r="C1" s="1575"/>
      <c r="D1" s="1575"/>
    </row>
    <row r="2" spans="1:4" ht="15.75" x14ac:dyDescent="0.25">
      <c r="B2" s="1575" t="str">
        <f>+ERI!B2</f>
        <v>Empresa LVG SAS</v>
      </c>
      <c r="C2" s="1575"/>
      <c r="D2" s="1575"/>
    </row>
    <row r="3" spans="1:4" ht="15.75" x14ac:dyDescent="0.25">
      <c r="B3" s="1575" t="str">
        <f>+ERI!B3</f>
        <v>Por el periodo terminado a diciembre 31 de 20x3 y comparado con 20x2</v>
      </c>
      <c r="C3" s="1575"/>
      <c r="D3" s="1575"/>
    </row>
    <row r="5" spans="1:4" ht="15.75" x14ac:dyDescent="0.25">
      <c r="C5" s="1577" t="s">
        <v>426</v>
      </c>
      <c r="D5" s="1577"/>
    </row>
    <row r="6" spans="1:4" ht="15.75" x14ac:dyDescent="0.25">
      <c r="C6" s="46" t="str">
        <f>+ERI!C6</f>
        <v>20x3</v>
      </c>
      <c r="D6" s="46" t="str">
        <f>+ERI!D6</f>
        <v>20x2</v>
      </c>
    </row>
    <row r="7" spans="1:4" ht="15.75" x14ac:dyDescent="0.25">
      <c r="B7" s="40"/>
      <c r="C7" s="47"/>
      <c r="D7" s="47"/>
    </row>
    <row r="8" spans="1:4" ht="15.75" x14ac:dyDescent="0.25">
      <c r="A8" s="41" t="s">
        <v>463</v>
      </c>
      <c r="C8" s="139"/>
      <c r="D8" s="139"/>
    </row>
    <row r="9" spans="1:4" x14ac:dyDescent="0.2">
      <c r="B9" s="43" t="s">
        <v>153</v>
      </c>
      <c r="C9" s="150">
        <f>+ERI!C23</f>
        <v>5758189410.6709194</v>
      </c>
      <c r="D9" s="150">
        <f>+ERI!D23</f>
        <v>4157237024.4063091</v>
      </c>
    </row>
    <row r="10" spans="1:4" x14ac:dyDescent="0.2">
      <c r="B10" s="43" t="s">
        <v>522</v>
      </c>
      <c r="C10" s="151">
        <f>-ERI!C22</f>
        <v>1630638656.8090806</v>
      </c>
      <c r="D10" s="151">
        <f>-ERI!D22</f>
        <v>2116667790.5936911</v>
      </c>
    </row>
    <row r="11" spans="1:4" ht="15.75" x14ac:dyDescent="0.25">
      <c r="B11" s="43"/>
      <c r="C11" s="152">
        <f>+C9+C10</f>
        <v>7388828067.4799995</v>
      </c>
      <c r="D11" s="152">
        <f>+D9+D10</f>
        <v>6273904815</v>
      </c>
    </row>
    <row r="12" spans="1:4" ht="15.75" x14ac:dyDescent="0.25">
      <c r="A12" s="41" t="s">
        <v>464</v>
      </c>
      <c r="B12" s="40"/>
      <c r="C12" s="150"/>
      <c r="D12" s="150"/>
    </row>
    <row r="13" spans="1:4" ht="15.75" x14ac:dyDescent="0.25">
      <c r="A13" s="41"/>
      <c r="B13" s="39" t="s">
        <v>465</v>
      </c>
      <c r="C13" s="153">
        <f>+'Hojas flujo indirecto'!B9</f>
        <v>747987288</v>
      </c>
      <c r="D13" s="126">
        <f>+'Hojas flujo indirecto'!C9</f>
        <v>754256057</v>
      </c>
    </row>
    <row r="14" spans="1:4" ht="30.75" x14ac:dyDescent="0.25">
      <c r="A14" s="41"/>
      <c r="B14" s="39" t="s">
        <v>854</v>
      </c>
      <c r="C14" s="126"/>
      <c r="D14" s="126"/>
    </row>
    <row r="15" spans="1:4" ht="15.75" x14ac:dyDescent="0.25">
      <c r="A15" s="41"/>
      <c r="B15" s="39" t="s">
        <v>829</v>
      </c>
      <c r="C15" s="126">
        <f>-'Sumaria contabilidad'!C97</f>
        <v>-47000000</v>
      </c>
      <c r="D15" s="126">
        <f>-'Sumaria contabilidad'!D97</f>
        <v>-295000000</v>
      </c>
    </row>
    <row r="16" spans="1:4" ht="15.75" x14ac:dyDescent="0.25">
      <c r="A16" s="41"/>
      <c r="B16" s="39" t="s">
        <v>467</v>
      </c>
      <c r="C16" s="126">
        <f>+'Hojas flujo indirecto'!B29</f>
        <v>-22000000</v>
      </c>
      <c r="D16" s="126">
        <f>+'Hojas flujo indirecto'!C29</f>
        <v>-15000000</v>
      </c>
    </row>
    <row r="17" spans="1:15" ht="15.75" x14ac:dyDescent="0.25">
      <c r="A17" s="41"/>
      <c r="B17" s="39" t="s">
        <v>970</v>
      </c>
      <c r="C17" s="126">
        <f>+'Hojas flujo indirecto'!B35</f>
        <v>136449866</v>
      </c>
      <c r="D17" s="126">
        <f>+'Hojas flujo indirecto'!C35</f>
        <v>-530987060</v>
      </c>
      <c r="N17" s="42"/>
      <c r="O17" s="42"/>
    </row>
    <row r="18" spans="1:15" ht="15.75" x14ac:dyDescent="0.25">
      <c r="A18" s="48" t="s">
        <v>469</v>
      </c>
      <c r="B18" s="40"/>
      <c r="C18" s="126"/>
      <c r="D18" s="126"/>
    </row>
    <row r="19" spans="1:15" ht="26.25" customHeight="1" x14ac:dyDescent="0.2">
      <c r="B19" s="39" t="s">
        <v>971</v>
      </c>
      <c r="C19" s="126">
        <f>+'Hojas flujo indirecto'!B43</f>
        <v>-35895000</v>
      </c>
      <c r="D19" s="126">
        <f>+'Hojas flujo indirecto'!C43</f>
        <v>91810000</v>
      </c>
      <c r="E19" s="45" t="s">
        <v>856</v>
      </c>
    </row>
    <row r="20" spans="1:15" ht="30" x14ac:dyDescent="0.2">
      <c r="B20" s="39" t="s">
        <v>972</v>
      </c>
      <c r="C20" s="126">
        <f>+'Hojas flujo indirecto'!B49</f>
        <v>20675085</v>
      </c>
      <c r="D20" s="126">
        <f>+'Hojas flujo indirecto'!C49</f>
        <v>-614036660</v>
      </c>
      <c r="E20" s="45" t="s">
        <v>857</v>
      </c>
    </row>
    <row r="21" spans="1:15" ht="15.75" x14ac:dyDescent="0.25">
      <c r="B21" s="39" t="s">
        <v>973</v>
      </c>
      <c r="C21" s="126">
        <f>+'Hojas flujo indirecto'!B55</f>
        <v>-2838000</v>
      </c>
      <c r="D21" s="126">
        <f>+'Hojas flujo indirecto'!C55</f>
        <v>41784000</v>
      </c>
      <c r="H21" s="42"/>
      <c r="I21" s="42"/>
    </row>
    <row r="22" spans="1:15" ht="30.75" x14ac:dyDescent="0.25">
      <c r="B22" s="39" t="s">
        <v>969</v>
      </c>
      <c r="C22" s="126">
        <f>+'Hojas flujo indirecto'!B62</f>
        <v>-321948882.48000002</v>
      </c>
      <c r="D22" s="126">
        <f>+'Hojas flujo indirecto'!C62</f>
        <v>552996128</v>
      </c>
      <c r="N22" s="42"/>
      <c r="O22" s="42"/>
    </row>
    <row r="23" spans="1:15" x14ac:dyDescent="0.2">
      <c r="B23" s="39" t="s">
        <v>974</v>
      </c>
      <c r="C23" s="126">
        <f>+'Hojas flujo indirecto'!B75</f>
        <v>-47933000</v>
      </c>
      <c r="D23" s="126">
        <f>+'Hojas flujo indirecto'!C75</f>
        <v>-531000000</v>
      </c>
      <c r="E23" s="45" t="s">
        <v>474</v>
      </c>
    </row>
    <row r="24" spans="1:15" x14ac:dyDescent="0.2">
      <c r="B24" s="39" t="s">
        <v>975</v>
      </c>
      <c r="C24" s="127">
        <f>+'Hojas flujo indirecto'!B67</f>
        <v>93864312</v>
      </c>
      <c r="D24" s="127">
        <f>+'Hojas flujo indirecto'!C67</f>
        <v>7867091</v>
      </c>
    </row>
    <row r="25" spans="1:15" ht="15.75" x14ac:dyDescent="0.25">
      <c r="A25" s="42" t="s">
        <v>476</v>
      </c>
      <c r="C25" s="152">
        <f>SUM(C11:C24)</f>
        <v>7910189736</v>
      </c>
      <c r="D25" s="152">
        <f>SUM(D11:D24)</f>
        <v>5736594371</v>
      </c>
    </row>
    <row r="26" spans="1:15" x14ac:dyDescent="0.2">
      <c r="B26" s="39" t="s">
        <v>976</v>
      </c>
      <c r="C26" s="128">
        <f>+'Hojas flujo indirecto'!B84</f>
        <v>-1892873000</v>
      </c>
      <c r="D26" s="128">
        <f>+'Hojas flujo indirecto'!C84</f>
        <v>-803690000</v>
      </c>
      <c r="E26" s="96">
        <f>+C26/C25</f>
        <v>-0.23929552427615752</v>
      </c>
      <c r="F26" s="96">
        <f>+D26/D25</f>
        <v>-0.140098802185294</v>
      </c>
    </row>
    <row r="27" spans="1:15" ht="15.75" x14ac:dyDescent="0.25">
      <c r="A27" s="42" t="s">
        <v>480</v>
      </c>
      <c r="C27" s="152">
        <f>+C25+C26</f>
        <v>6017316736</v>
      </c>
      <c r="D27" s="152">
        <f>+D25+D26</f>
        <v>4932904371</v>
      </c>
    </row>
    <row r="28" spans="1:15" ht="15.75" x14ac:dyDescent="0.25">
      <c r="A28" s="42"/>
      <c r="C28" s="152"/>
      <c r="D28" s="152"/>
    </row>
    <row r="29" spans="1:15" ht="15.75" x14ac:dyDescent="0.25">
      <c r="A29" s="41" t="s">
        <v>482</v>
      </c>
      <c r="B29" s="40"/>
      <c r="C29" s="150"/>
      <c r="D29" s="150"/>
    </row>
    <row r="30" spans="1:15" ht="30" x14ac:dyDescent="0.2">
      <c r="B30" s="39" t="s">
        <v>524</v>
      </c>
      <c r="C30" s="126">
        <f>+'Hojas flujo indirecto'!B99</f>
        <v>140612090</v>
      </c>
      <c r="D30" s="126">
        <f>+'Hojas flujo indirecto'!C99</f>
        <v>-1001227060</v>
      </c>
      <c r="E30" s="45" t="s">
        <v>474</v>
      </c>
    </row>
    <row r="31" spans="1:15" ht="30" x14ac:dyDescent="0.2">
      <c r="B31" s="39" t="s">
        <v>483</v>
      </c>
      <c r="C31" s="126">
        <f>+'Hojas flujo indirecto'!B128</f>
        <v>47000000</v>
      </c>
      <c r="D31" s="126">
        <f>+'Hojas flujo indirecto'!C128</f>
        <v>295000000</v>
      </c>
    </row>
    <row r="32" spans="1:15" x14ac:dyDescent="0.2">
      <c r="B32" s="39" t="s">
        <v>1001</v>
      </c>
      <c r="C32" s="126">
        <f>-ESF!G24+C68</f>
        <v>7256000000</v>
      </c>
      <c r="D32" s="126">
        <f>-ESF!H24</f>
        <v>0</v>
      </c>
    </row>
    <row r="33" spans="1:12" x14ac:dyDescent="0.2">
      <c r="B33" s="39" t="s">
        <v>558</v>
      </c>
      <c r="C33" s="126">
        <f>+'Hojas flujo indirecto'!B168</f>
        <v>22000000</v>
      </c>
      <c r="D33" s="126">
        <f>+'Hojas flujo indirecto'!C168</f>
        <v>15000000</v>
      </c>
    </row>
    <row r="34" spans="1:12" ht="30" x14ac:dyDescent="0.2">
      <c r="B34" s="39" t="s">
        <v>484</v>
      </c>
      <c r="C34" s="153">
        <f>+'Hojas flujo indirecto'!B111+'Hojas flujo indirecto'!B138+C67</f>
        <v>-665494403</v>
      </c>
      <c r="D34" s="126">
        <f>+'Hojas flujo indirecto'!C111+'Hojas flujo indirecto'!C138</f>
        <v>-804805464</v>
      </c>
    </row>
    <row r="35" spans="1:12" x14ac:dyDescent="0.2">
      <c r="B35" s="39" t="s">
        <v>485</v>
      </c>
      <c r="C35" s="143"/>
      <c r="D35" s="143"/>
    </row>
    <row r="36" spans="1:12" ht="15.75" x14ac:dyDescent="0.25">
      <c r="A36" s="42" t="s">
        <v>486</v>
      </c>
      <c r="C36" s="138">
        <f>SUM(C30:C35)</f>
        <v>6800117687</v>
      </c>
      <c r="D36" s="138">
        <f>SUM(D30:D35)</f>
        <v>-1496032524</v>
      </c>
    </row>
    <row r="37" spans="1:12" ht="15.75" x14ac:dyDescent="0.25">
      <c r="B37" s="40"/>
      <c r="C37" s="141"/>
      <c r="D37" s="141"/>
    </row>
    <row r="38" spans="1:12" ht="15.75" x14ac:dyDescent="0.25">
      <c r="A38" s="41" t="s">
        <v>487</v>
      </c>
      <c r="B38" s="40"/>
      <c r="C38" s="139"/>
      <c r="D38" s="139"/>
    </row>
    <row r="39" spans="1:12" x14ac:dyDescent="0.2">
      <c r="B39" s="39" t="s">
        <v>488</v>
      </c>
      <c r="C39" s="142"/>
      <c r="D39" s="142"/>
    </row>
    <row r="40" spans="1:12" x14ac:dyDescent="0.2">
      <c r="B40" s="39" t="s">
        <v>489</v>
      </c>
      <c r="C40" s="142"/>
      <c r="D40" s="142"/>
    </row>
    <row r="41" spans="1:12" x14ac:dyDescent="0.2">
      <c r="B41" s="39" t="s">
        <v>490</v>
      </c>
      <c r="C41" s="144">
        <f>+'Hojas flujo indirecto'!B153+C66</f>
        <v>-7841340116</v>
      </c>
      <c r="D41" s="142">
        <f>+'Hojas flujo indirecto'!C153</f>
        <v>-516636644</v>
      </c>
    </row>
    <row r="42" spans="1:12" x14ac:dyDescent="0.2">
      <c r="B42" s="39" t="s">
        <v>491</v>
      </c>
      <c r="C42" s="142"/>
      <c r="D42" s="142"/>
    </row>
    <row r="43" spans="1:12" x14ac:dyDescent="0.2">
      <c r="B43" s="39" t="s">
        <v>461</v>
      </c>
      <c r="C43" s="131">
        <f>+'Hojas flujo indirecto'!B161</f>
        <v>-304608339.00000191</v>
      </c>
      <c r="D43" s="131">
        <f>+'Hojas flujo indirecto'!C161</f>
        <v>-368291031.00000191</v>
      </c>
    </row>
    <row r="44" spans="1:12" ht="15.75" x14ac:dyDescent="0.25">
      <c r="B44" s="39" t="s">
        <v>492</v>
      </c>
      <c r="C44" s="140"/>
      <c r="D44" s="140"/>
      <c r="E44" s="49"/>
    </row>
    <row r="45" spans="1:12" ht="15.75" x14ac:dyDescent="0.25">
      <c r="A45" s="41" t="s">
        <v>493</v>
      </c>
      <c r="C45" s="138">
        <f>SUM(C39:C44)</f>
        <v>-8145948455.0000019</v>
      </c>
      <c r="D45" s="138">
        <f>SUM(D39:D44)</f>
        <v>-884927675.00000191</v>
      </c>
      <c r="E45" s="49"/>
    </row>
    <row r="46" spans="1:12" ht="15.75" x14ac:dyDescent="0.25">
      <c r="A46" s="41"/>
      <c r="C46" s="141"/>
      <c r="D46" s="141"/>
      <c r="E46" s="49"/>
    </row>
    <row r="47" spans="1:12" ht="31.5" x14ac:dyDescent="0.25">
      <c r="B47" s="40" t="s">
        <v>494</v>
      </c>
      <c r="C47" s="145">
        <f>+C45+C36+C27</f>
        <v>4671485967.9999981</v>
      </c>
      <c r="D47" s="145">
        <f>+D45+D36+D27</f>
        <v>2551944171.9999981</v>
      </c>
      <c r="E47" s="49"/>
      <c r="K47" s="42"/>
      <c r="L47" s="42"/>
    </row>
    <row r="48" spans="1:12" ht="31.5" x14ac:dyDescent="0.25">
      <c r="B48" s="40" t="s">
        <v>495</v>
      </c>
      <c r="C48" s="131">
        <f>+ESF!D8</f>
        <v>4030980742</v>
      </c>
      <c r="D48" s="131">
        <f>+ESF!E8</f>
        <v>1515485000</v>
      </c>
    </row>
    <row r="49" spans="2:12" ht="16.5" thickBot="1" x14ac:dyDescent="0.3">
      <c r="B49" s="40" t="s">
        <v>496</v>
      </c>
      <c r="C49" s="146">
        <f>+ESF!C8</f>
        <v>8638117839</v>
      </c>
      <c r="D49" s="146">
        <f>+ESF!D8</f>
        <v>4030980742</v>
      </c>
    </row>
    <row r="50" spans="2:12" ht="16.5" customHeight="1" thickTop="1" x14ac:dyDescent="0.25">
      <c r="B50" s="43"/>
      <c r="C50" s="147"/>
      <c r="D50" s="147"/>
      <c r="J50" s="42"/>
      <c r="K50" s="42"/>
      <c r="L50" s="42"/>
    </row>
    <row r="51" spans="2:12" ht="16.5" customHeight="1" x14ac:dyDescent="0.2">
      <c r="B51" s="43"/>
      <c r="C51" s="147"/>
      <c r="D51" s="147"/>
    </row>
    <row r="52" spans="2:12" ht="16.5" customHeight="1" x14ac:dyDescent="0.2">
      <c r="C52" s="147"/>
      <c r="D52" s="147"/>
    </row>
    <row r="53" spans="2:12" ht="16.5" customHeight="1" x14ac:dyDescent="0.2">
      <c r="C53" s="147"/>
      <c r="D53" s="147"/>
    </row>
    <row r="54" spans="2:12" ht="16.5" customHeight="1" x14ac:dyDescent="0.2">
      <c r="C54" s="148">
        <f>+C49-C48-C47</f>
        <v>-64348870.999998093</v>
      </c>
      <c r="D54" s="148">
        <f>+D49-D48-D47</f>
        <v>-36448429.999998093</v>
      </c>
    </row>
    <row r="55" spans="2:12" ht="16.5" customHeight="1" x14ac:dyDescent="0.2">
      <c r="C55" s="148">
        <f>+C49-C48</f>
        <v>4607137097</v>
      </c>
      <c r="D55" s="148">
        <f>+D49-D48</f>
        <v>2515495742</v>
      </c>
    </row>
    <row r="56" spans="2:12" ht="16.5" customHeight="1" x14ac:dyDescent="0.2">
      <c r="C56" s="148">
        <f>+C47-C55</f>
        <v>64348870.999998093</v>
      </c>
      <c r="D56" s="148">
        <f>+D47-D55</f>
        <v>36448429.999998093</v>
      </c>
    </row>
    <row r="57" spans="2:12" ht="16.5" customHeight="1" x14ac:dyDescent="0.25">
      <c r="C57" s="148"/>
      <c r="D57" s="148"/>
      <c r="F57" s="42"/>
    </row>
    <row r="58" spans="2:12" ht="16.5" customHeight="1" x14ac:dyDescent="0.2">
      <c r="C58" s="148">
        <f>+C56*2</f>
        <v>128697741.99999619</v>
      </c>
      <c r="D58" s="148">
        <f>+D56*2</f>
        <v>72896859.999996185</v>
      </c>
    </row>
    <row r="59" spans="2:12" ht="16.5" customHeight="1" x14ac:dyDescent="0.2">
      <c r="C59" s="148">
        <f>+C56/2</f>
        <v>32174435.499999046</v>
      </c>
      <c r="D59" s="148">
        <f>+D56/2</f>
        <v>18224214.999999046</v>
      </c>
    </row>
    <row r="60" spans="2:12" ht="16.5" customHeight="1" x14ac:dyDescent="0.25">
      <c r="C60" s="147"/>
      <c r="D60" s="147"/>
      <c r="F60" s="42"/>
      <c r="G60" s="42"/>
      <c r="H60" s="42"/>
    </row>
    <row r="61" spans="2:12" x14ac:dyDescent="0.2">
      <c r="C61" s="147"/>
      <c r="D61" s="147"/>
    </row>
    <row r="62" spans="2:12" x14ac:dyDescent="0.2">
      <c r="C62" s="147"/>
      <c r="D62" s="147"/>
    </row>
    <row r="63" spans="2:12" x14ac:dyDescent="0.2">
      <c r="C63" s="147"/>
      <c r="D63" s="147"/>
    </row>
    <row r="64" spans="2:12" ht="15.75" x14ac:dyDescent="0.25">
      <c r="B64" s="42" t="s">
        <v>938</v>
      </c>
      <c r="C64" s="147"/>
      <c r="D64" s="147"/>
    </row>
    <row r="65" spans="2:5" ht="15.75" x14ac:dyDescent="0.25">
      <c r="C65" s="149" t="str">
        <f>+C6</f>
        <v>20x3</v>
      </c>
      <c r="D65" s="149" t="str">
        <f>+D6</f>
        <v>20x2</v>
      </c>
    </row>
    <row r="66" spans="2:5" x14ac:dyDescent="0.2">
      <c r="B66" s="35" t="s">
        <v>861</v>
      </c>
      <c r="C66" s="147">
        <f>-C67-C68</f>
        <v>-7256000000</v>
      </c>
      <c r="D66" s="147"/>
      <c r="E66" s="147"/>
    </row>
    <row r="67" spans="2:5" x14ac:dyDescent="0.2">
      <c r="B67" s="35" t="s">
        <v>862</v>
      </c>
      <c r="C67" s="147">
        <v>0</v>
      </c>
      <c r="D67" s="147"/>
      <c r="E67" s="147"/>
    </row>
    <row r="68" spans="2:5" x14ac:dyDescent="0.2">
      <c r="B68" s="35" t="s">
        <v>1002</v>
      </c>
      <c r="C68" s="147">
        <v>7256000000</v>
      </c>
      <c r="D68" s="147"/>
      <c r="E68" s="147"/>
    </row>
    <row r="69" spans="2:5" x14ac:dyDescent="0.2">
      <c r="C69" s="147"/>
      <c r="D69" s="147"/>
      <c r="E69" s="147"/>
    </row>
    <row r="70" spans="2:5" x14ac:dyDescent="0.2">
      <c r="C70" s="147"/>
      <c r="D70" s="147"/>
      <c r="E70" s="147"/>
    </row>
    <row r="71" spans="2:5" x14ac:dyDescent="0.2">
      <c r="C71" s="147"/>
      <c r="D71" s="147"/>
      <c r="E71" s="147"/>
    </row>
    <row r="72" spans="2:5" x14ac:dyDescent="0.2">
      <c r="C72" s="147"/>
      <c r="D72" s="147"/>
      <c r="E72" s="147"/>
    </row>
    <row r="73" spans="2:5" x14ac:dyDescent="0.2">
      <c r="C73" s="147"/>
      <c r="D73" s="147"/>
      <c r="E73" s="147"/>
    </row>
    <row r="74" spans="2:5" x14ac:dyDescent="0.2">
      <c r="C74" s="147"/>
      <c r="D74" s="147"/>
      <c r="E74" s="147"/>
    </row>
    <row r="75" spans="2:5" x14ac:dyDescent="0.2">
      <c r="C75" s="147"/>
      <c r="D75" s="147"/>
      <c r="E75" s="147"/>
    </row>
  </sheetData>
  <mergeCells count="4">
    <mergeCell ref="B1:D1"/>
    <mergeCell ref="B2:D2"/>
    <mergeCell ref="B3:D3"/>
    <mergeCell ref="C5:D5"/>
  </mergeCells>
  <pageMargins left="0.7" right="0.7" top="0.75" bottom="0.75" header="0.3" footer="0.3"/>
  <pageSetup scale="76" orientation="portrait" horizontalDpi="4294967292" verticalDpi="4294967293"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I175"/>
  <sheetViews>
    <sheetView showGridLines="0" topLeftCell="A117" zoomScale="120" zoomScaleNormal="120" workbookViewId="0">
      <selection activeCell="B129" sqref="B129"/>
    </sheetView>
  </sheetViews>
  <sheetFormatPr baseColWidth="10" defaultColWidth="20.42578125" defaultRowHeight="14.25" x14ac:dyDescent="0.2"/>
  <cols>
    <col min="1" max="1" width="45.7109375" style="18" customWidth="1"/>
    <col min="2" max="3" width="29.28515625" style="105" customWidth="1"/>
    <col min="4" max="6" width="20.42578125" style="18"/>
    <col min="7" max="7" width="38.42578125" style="18" customWidth="1"/>
    <col min="8" max="16384" width="20.42578125" style="18"/>
  </cols>
  <sheetData>
    <row r="2" spans="1:3" s="157" customFormat="1" x14ac:dyDescent="0.2">
      <c r="B2" s="158"/>
      <c r="C2" s="158"/>
    </row>
    <row r="3" spans="1:3" s="157" customFormat="1" x14ac:dyDescent="0.2">
      <c r="B3" s="158"/>
      <c r="C3" s="158"/>
    </row>
    <row r="6" spans="1:3" ht="15" x14ac:dyDescent="0.25">
      <c r="A6" s="17" t="s">
        <v>525</v>
      </c>
    </row>
    <row r="8" spans="1:3" ht="15" x14ac:dyDescent="0.25">
      <c r="A8" s="20"/>
      <c r="B8" s="104" t="s">
        <v>2149</v>
      </c>
      <c r="C8" s="104" t="s">
        <v>2150</v>
      </c>
    </row>
    <row r="9" spans="1:3" ht="30" x14ac:dyDescent="0.25">
      <c r="A9" s="159" t="s">
        <v>465</v>
      </c>
      <c r="B9" s="108">
        <f>SUM(B10:B13)</f>
        <v>747987288</v>
      </c>
      <c r="C9" s="108">
        <f>SUM(C10:C13)</f>
        <v>754256057</v>
      </c>
    </row>
    <row r="10" spans="1:3" x14ac:dyDescent="0.2">
      <c r="A10" s="20" t="s">
        <v>526</v>
      </c>
      <c r="B10" s="160">
        <f>+'Sumaria contabilidad'!C117</f>
        <v>43505095</v>
      </c>
      <c r="C10" s="160">
        <f>+'Sumaria contabilidad'!D117</f>
        <v>43505095</v>
      </c>
    </row>
    <row r="11" spans="1:3" x14ac:dyDescent="0.2">
      <c r="A11" s="20" t="s">
        <v>844</v>
      </c>
      <c r="B11" s="160">
        <f>+'Sumaria contabilidad'!C126</f>
        <v>77348871</v>
      </c>
      <c r="C11" s="160">
        <f>+'Sumaria contabilidad'!D126</f>
        <v>49448430</v>
      </c>
    </row>
    <row r="12" spans="1:3" x14ac:dyDescent="0.2">
      <c r="A12" s="20" t="s">
        <v>527</v>
      </c>
      <c r="B12" s="160">
        <f>+'Sumaria contabilidad'!C144</f>
        <v>204776533</v>
      </c>
      <c r="C12" s="160">
        <f>+'Sumaria contabilidad'!D144</f>
        <v>204776532</v>
      </c>
    </row>
    <row r="13" spans="1:3" x14ac:dyDescent="0.2">
      <c r="A13" s="20" t="s">
        <v>845</v>
      </c>
      <c r="B13" s="160">
        <f>+'Sumaria contabilidad'!C146</f>
        <v>422356789</v>
      </c>
      <c r="C13" s="160">
        <f>+'Sumaria contabilidad'!D146</f>
        <v>456526000</v>
      </c>
    </row>
    <row r="16" spans="1:3" ht="15" x14ac:dyDescent="0.25">
      <c r="A16" s="20"/>
      <c r="B16" s="104" t="str">
        <f>+B8</f>
        <v>Año 20x3</v>
      </c>
      <c r="C16" s="104" t="str">
        <f>+C8</f>
        <v>Año 20x2</v>
      </c>
    </row>
    <row r="17" spans="1:3" ht="60" x14ac:dyDescent="0.25">
      <c r="A17" s="159" t="s">
        <v>466</v>
      </c>
      <c r="B17" s="108">
        <f>SUM(B18:B20)</f>
        <v>0</v>
      </c>
      <c r="C17" s="108">
        <f>SUM(C18:C20)</f>
        <v>0</v>
      </c>
    </row>
    <row r="18" spans="1:3" x14ac:dyDescent="0.2">
      <c r="A18" s="20" t="s">
        <v>528</v>
      </c>
      <c r="B18" s="161"/>
      <c r="C18" s="161"/>
    </row>
    <row r="19" spans="1:3" x14ac:dyDescent="0.2">
      <c r="A19" s="20" t="s">
        <v>529</v>
      </c>
      <c r="B19" s="161"/>
      <c r="C19" s="161"/>
    </row>
    <row r="20" spans="1:3" x14ac:dyDescent="0.2">
      <c r="A20" s="20" t="s">
        <v>530</v>
      </c>
      <c r="B20" s="161"/>
      <c r="C20" s="161"/>
    </row>
    <row r="23" spans="1:3" ht="15" x14ac:dyDescent="0.25">
      <c r="A23" s="20"/>
      <c r="B23" s="104" t="str">
        <f>+B16</f>
        <v>Año 20x3</v>
      </c>
      <c r="C23" s="104" t="str">
        <f>+C16</f>
        <v>Año 20x2</v>
      </c>
    </row>
    <row r="24" spans="1:3" ht="30" x14ac:dyDescent="0.25">
      <c r="A24" s="159" t="s">
        <v>829</v>
      </c>
      <c r="B24" s="108">
        <f>+B25</f>
        <v>-47000000</v>
      </c>
      <c r="C24" s="108">
        <f>+C25</f>
        <v>-295000000</v>
      </c>
    </row>
    <row r="25" spans="1:3" x14ac:dyDescent="0.2">
      <c r="A25" s="20" t="s">
        <v>830</v>
      </c>
      <c r="B25" s="160">
        <f>-'Sumaria contabilidad'!C97</f>
        <v>-47000000</v>
      </c>
      <c r="C25" s="160">
        <f>-'Sumaria contabilidad'!D97</f>
        <v>-295000000</v>
      </c>
    </row>
    <row r="28" spans="1:3" ht="15" x14ac:dyDescent="0.25">
      <c r="A28" s="20"/>
      <c r="B28" s="104" t="str">
        <f>+B23</f>
        <v>Año 20x3</v>
      </c>
      <c r="C28" s="104" t="str">
        <f>+C23</f>
        <v>Año 20x2</v>
      </c>
    </row>
    <row r="29" spans="1:3" ht="15" x14ac:dyDescent="0.25">
      <c r="A29" s="159" t="s">
        <v>855</v>
      </c>
      <c r="B29" s="108">
        <f>+B30</f>
        <v>-22000000</v>
      </c>
      <c r="C29" s="108">
        <f>+C30</f>
        <v>-15000000</v>
      </c>
    </row>
    <row r="30" spans="1:3" x14ac:dyDescent="0.2">
      <c r="A30" s="20" t="s">
        <v>855</v>
      </c>
      <c r="B30" s="160">
        <f>-'Sumaria contabilidad'!C99</f>
        <v>-22000000</v>
      </c>
      <c r="C30" s="160">
        <f>-'Sumaria contabilidad'!D99</f>
        <v>-15000000</v>
      </c>
    </row>
    <row r="34" spans="1:9" ht="15" x14ac:dyDescent="0.25">
      <c r="A34" s="20"/>
      <c r="B34" s="104" t="str">
        <f>+B28</f>
        <v>Año 20x3</v>
      </c>
      <c r="C34" s="104" t="str">
        <f>+C28</f>
        <v>Año 20x2</v>
      </c>
      <c r="H34" s="21"/>
    </row>
    <row r="35" spans="1:9" ht="30" x14ac:dyDescent="0.25">
      <c r="A35" s="159" t="s">
        <v>468</v>
      </c>
      <c r="B35" s="108">
        <f>SUM(B36:B39)</f>
        <v>136449866</v>
      </c>
      <c r="C35" s="108">
        <f>SUM(C36:C39)</f>
        <v>-530987060</v>
      </c>
      <c r="H35" s="21"/>
    </row>
    <row r="36" spans="1:9" x14ac:dyDescent="0.2">
      <c r="A36" s="20" t="s">
        <v>534</v>
      </c>
      <c r="B36" s="160">
        <f>-'Sumaria contabilidad'!C87</f>
        <v>-134067000</v>
      </c>
      <c r="C36" s="160">
        <f>-'Sumaria contabilidad'!D87</f>
        <v>-81294000</v>
      </c>
      <c r="H36" s="21"/>
    </row>
    <row r="37" spans="1:9" x14ac:dyDescent="0.2">
      <c r="A37" s="20" t="s">
        <v>531</v>
      </c>
      <c r="B37" s="160">
        <f>-'Sumaria contabilidad'!C92</f>
        <v>153172776</v>
      </c>
      <c r="C37" s="160">
        <f>-'Sumaria contabilidad'!D92</f>
        <v>-73160000</v>
      </c>
      <c r="H37" s="21"/>
    </row>
    <row r="38" spans="1:9" x14ac:dyDescent="0.2">
      <c r="A38" s="20" t="s">
        <v>532</v>
      </c>
      <c r="B38" s="160">
        <f>-'Sumaria contabilidad'!C95</f>
        <v>-11634000</v>
      </c>
      <c r="C38" s="160">
        <f>-'Sumaria contabilidad'!D95</f>
        <v>-12653000</v>
      </c>
      <c r="H38" s="21"/>
    </row>
    <row r="39" spans="1:9" x14ac:dyDescent="0.2">
      <c r="A39" s="20" t="s">
        <v>533</v>
      </c>
      <c r="B39" s="160">
        <f>-'Sumaria contabilidad'!C96</f>
        <v>128978090</v>
      </c>
      <c r="C39" s="160">
        <f>-'Sumaria contabilidad'!D96</f>
        <v>-363880060</v>
      </c>
      <c r="H39" s="21"/>
      <c r="I39" s="21"/>
    </row>
    <row r="40" spans="1:9" x14ac:dyDescent="0.2">
      <c r="H40" s="21"/>
    </row>
    <row r="41" spans="1:9" x14ac:dyDescent="0.2">
      <c r="H41" s="21"/>
    </row>
    <row r="42" spans="1:9" ht="15" x14ac:dyDescent="0.25">
      <c r="A42" s="20"/>
      <c r="B42" s="104" t="str">
        <f>+B34</f>
        <v>Año 20x3</v>
      </c>
      <c r="C42" s="104" t="str">
        <f>+C34</f>
        <v>Año 20x2</v>
      </c>
      <c r="H42" s="21"/>
    </row>
    <row r="43" spans="1:9" ht="30" x14ac:dyDescent="0.25">
      <c r="A43" s="159" t="s">
        <v>470</v>
      </c>
      <c r="B43" s="108">
        <f>SUM(B44:B45)</f>
        <v>-35895000</v>
      </c>
      <c r="C43" s="108">
        <f>SUM(C44:C45)</f>
        <v>91810000</v>
      </c>
      <c r="H43" s="21"/>
    </row>
    <row r="44" spans="1:9" x14ac:dyDescent="0.2">
      <c r="A44" s="20" t="s">
        <v>535</v>
      </c>
      <c r="B44" s="161">
        <f>-ESF!G11</f>
        <v>-35895000</v>
      </c>
      <c r="C44" s="161">
        <f>-ESF!H11</f>
        <v>91810000</v>
      </c>
      <c r="H44" s="162"/>
    </row>
    <row r="45" spans="1:9" ht="15" x14ac:dyDescent="0.25">
      <c r="A45" s="20" t="s">
        <v>536</v>
      </c>
      <c r="B45" s="161"/>
      <c r="C45" s="161"/>
      <c r="G45" s="17"/>
      <c r="H45" s="163"/>
    </row>
    <row r="48" spans="1:9" ht="15" x14ac:dyDescent="0.25">
      <c r="A48" s="20"/>
      <c r="B48" s="104" t="str">
        <f>+B42</f>
        <v>Año 20x3</v>
      </c>
      <c r="C48" s="104" t="str">
        <f>+C42</f>
        <v>Año 20x2</v>
      </c>
    </row>
    <row r="49" spans="1:3" ht="30" x14ac:dyDescent="0.25">
      <c r="A49" s="159" t="s">
        <v>471</v>
      </c>
      <c r="B49" s="108">
        <f>SUM(B50:B52)</f>
        <v>20675085</v>
      </c>
      <c r="C49" s="108">
        <f>SUM(C50:C52)</f>
        <v>-614036660</v>
      </c>
    </row>
    <row r="50" spans="1:3" x14ac:dyDescent="0.2">
      <c r="A50" s="20" t="s">
        <v>537</v>
      </c>
      <c r="B50" s="161">
        <f>-ESF!G9</f>
        <v>20675085</v>
      </c>
      <c r="C50" s="161">
        <f>-ESF!H9</f>
        <v>-614036660</v>
      </c>
    </row>
    <row r="51" spans="1:3" x14ac:dyDescent="0.2">
      <c r="A51" s="20" t="s">
        <v>538</v>
      </c>
      <c r="B51" s="161"/>
      <c r="C51" s="161"/>
    </row>
    <row r="52" spans="1:3" x14ac:dyDescent="0.2">
      <c r="A52" s="20" t="s">
        <v>831</v>
      </c>
      <c r="B52" s="161"/>
      <c r="C52" s="161"/>
    </row>
    <row r="54" spans="1:3" ht="15" x14ac:dyDescent="0.25">
      <c r="A54" s="20"/>
      <c r="B54" s="104" t="str">
        <f>+B48</f>
        <v>Año 20x3</v>
      </c>
      <c r="C54" s="104" t="str">
        <f>+C48</f>
        <v>Año 20x2</v>
      </c>
    </row>
    <row r="55" spans="1:3" ht="45" x14ac:dyDescent="0.25">
      <c r="A55" s="159" t="s">
        <v>472</v>
      </c>
      <c r="B55" s="108">
        <f>SUM(B56:B58)</f>
        <v>-2838000</v>
      </c>
      <c r="C55" s="108">
        <f>SUM(C56:C58)</f>
        <v>41784000</v>
      </c>
    </row>
    <row r="56" spans="1:3" x14ac:dyDescent="0.2">
      <c r="A56" s="20" t="s">
        <v>539</v>
      </c>
      <c r="B56" s="161">
        <f>-ESF!G10</f>
        <v>-2838000</v>
      </c>
      <c r="C56" s="161">
        <f>-ESF!H10</f>
        <v>41784000</v>
      </c>
    </row>
    <row r="57" spans="1:3" x14ac:dyDescent="0.2">
      <c r="A57" s="20" t="s">
        <v>538</v>
      </c>
      <c r="B57" s="161"/>
      <c r="C57" s="161"/>
    </row>
    <row r="58" spans="1:3" x14ac:dyDescent="0.2">
      <c r="A58" s="20" t="s">
        <v>832</v>
      </c>
      <c r="B58" s="161"/>
      <c r="C58" s="161"/>
    </row>
    <row r="61" spans="1:3" ht="15" x14ac:dyDescent="0.25">
      <c r="A61" s="20"/>
      <c r="B61" s="104" t="str">
        <f>+B54</f>
        <v>Año 20x3</v>
      </c>
      <c r="C61" s="104" t="str">
        <f>+C54</f>
        <v>Año 20x2</v>
      </c>
    </row>
    <row r="62" spans="1:3" ht="30" x14ac:dyDescent="0.25">
      <c r="A62" s="159" t="s">
        <v>473</v>
      </c>
      <c r="B62" s="108">
        <f>SUM(B63)</f>
        <v>-321948882.48000002</v>
      </c>
      <c r="C62" s="108">
        <f>SUM(C63)</f>
        <v>552996128</v>
      </c>
    </row>
    <row r="63" spans="1:3" x14ac:dyDescent="0.2">
      <c r="A63" s="20" t="s">
        <v>499</v>
      </c>
      <c r="B63" s="161">
        <f>+ESF!G28</f>
        <v>-321948882.48000002</v>
      </c>
      <c r="C63" s="161">
        <f>+ESF!H28</f>
        <v>552996128</v>
      </c>
    </row>
    <row r="66" spans="1:3" ht="15" x14ac:dyDescent="0.25">
      <c r="A66" s="20"/>
      <c r="B66" s="104" t="str">
        <f>+B61</f>
        <v>Año 20x3</v>
      </c>
      <c r="C66" s="104" t="str">
        <f>+C61</f>
        <v>Año 20x2</v>
      </c>
    </row>
    <row r="67" spans="1:3" ht="30" x14ac:dyDescent="0.25">
      <c r="A67" s="159" t="s">
        <v>859</v>
      </c>
      <c r="B67" s="108">
        <f>SUM(B68:B69)</f>
        <v>93864312</v>
      </c>
      <c r="C67" s="108">
        <f>SUM(C68:C69)</f>
        <v>7867091</v>
      </c>
    </row>
    <row r="68" spans="1:3" x14ac:dyDescent="0.2">
      <c r="A68" s="20" t="s">
        <v>834</v>
      </c>
      <c r="B68" s="161">
        <f>+ESF!G31</f>
        <v>36183000</v>
      </c>
      <c r="C68" s="161">
        <f>+ESF!H31</f>
        <v>3560000</v>
      </c>
    </row>
    <row r="69" spans="1:3" x14ac:dyDescent="0.2">
      <c r="A69" s="20" t="s">
        <v>834</v>
      </c>
      <c r="B69" s="161">
        <f>+ESF!G35</f>
        <v>57681312</v>
      </c>
      <c r="C69" s="161">
        <f>+ESF!H35</f>
        <v>4307091</v>
      </c>
    </row>
    <row r="74" spans="1:3" ht="15" x14ac:dyDescent="0.25">
      <c r="A74" s="20"/>
      <c r="B74" s="104" t="str">
        <f>+B66</f>
        <v>Año 20x3</v>
      </c>
      <c r="C74" s="104" t="str">
        <f>+C66</f>
        <v>Año 20x2</v>
      </c>
    </row>
    <row r="75" spans="1:3" ht="30" x14ac:dyDescent="0.25">
      <c r="A75" s="159" t="s">
        <v>858</v>
      </c>
      <c r="B75" s="108">
        <f>SUM(B76:B79)</f>
        <v>-47933000</v>
      </c>
      <c r="C75" s="108">
        <f>SUM(C76:C79)</f>
        <v>-531000000</v>
      </c>
    </row>
    <row r="76" spans="1:3" x14ac:dyDescent="0.2">
      <c r="A76" s="20" t="s">
        <v>540</v>
      </c>
      <c r="B76" s="161">
        <f>-ESF!G23</f>
        <v>0</v>
      </c>
      <c r="C76" s="161">
        <f>-ESF!H23</f>
        <v>0</v>
      </c>
    </row>
    <row r="77" spans="1:3" x14ac:dyDescent="0.2">
      <c r="A77" s="20" t="s">
        <v>540</v>
      </c>
      <c r="B77" s="161">
        <f>-ESF!G12</f>
        <v>-182000000</v>
      </c>
      <c r="C77" s="161">
        <f>-ESF!H12</f>
        <v>-612294000</v>
      </c>
    </row>
    <row r="78" spans="1:3" x14ac:dyDescent="0.2">
      <c r="A78" s="20"/>
      <c r="B78" s="161"/>
      <c r="C78" s="161"/>
    </row>
    <row r="79" spans="1:3" x14ac:dyDescent="0.2">
      <c r="A79" s="20" t="s">
        <v>833</v>
      </c>
      <c r="B79" s="161">
        <f>-B36</f>
        <v>134067000</v>
      </c>
      <c r="C79" s="161">
        <f>-C36</f>
        <v>81294000</v>
      </c>
    </row>
    <row r="83" spans="1:3" ht="15" x14ac:dyDescent="0.25">
      <c r="A83" s="20"/>
      <c r="B83" s="104" t="str">
        <f>+B74</f>
        <v>Año 20x3</v>
      </c>
      <c r="C83" s="104" t="str">
        <f>+C74</f>
        <v>Año 20x2</v>
      </c>
    </row>
    <row r="84" spans="1:3" ht="30" x14ac:dyDescent="0.25">
      <c r="A84" s="159" t="s">
        <v>478</v>
      </c>
      <c r="B84" s="108">
        <f>SUM(B85:B90)</f>
        <v>-1892873000</v>
      </c>
      <c r="C84" s="108">
        <f>SUM(C85:C90)</f>
        <v>-803690000</v>
      </c>
    </row>
    <row r="85" spans="1:3" x14ac:dyDescent="0.2">
      <c r="A85" s="20" t="s">
        <v>475</v>
      </c>
      <c r="B85" s="161">
        <f>ERI!C22</f>
        <v>-1630638656.8090806</v>
      </c>
      <c r="C85" s="161">
        <f>ERI!D22</f>
        <v>-2116667790.5936911</v>
      </c>
    </row>
    <row r="86" spans="1:3" x14ac:dyDescent="0.2">
      <c r="A86" s="20" t="s">
        <v>925</v>
      </c>
      <c r="B86" s="161"/>
      <c r="C86" s="161">
        <v>0</v>
      </c>
    </row>
    <row r="87" spans="1:3" x14ac:dyDescent="0.2">
      <c r="A87" s="20" t="s">
        <v>541</v>
      </c>
      <c r="B87" s="161">
        <f>-ESF!G13</f>
        <v>0</v>
      </c>
      <c r="C87" s="161">
        <f>-ESF!H13</f>
        <v>0</v>
      </c>
    </row>
    <row r="88" spans="1:3" x14ac:dyDescent="0.2">
      <c r="A88" s="20" t="s">
        <v>477</v>
      </c>
      <c r="B88" s="161"/>
      <c r="C88" s="161"/>
    </row>
    <row r="89" spans="1:3" x14ac:dyDescent="0.2">
      <c r="A89" s="20" t="s">
        <v>479</v>
      </c>
      <c r="B89" s="161">
        <f>+ESF!G29</f>
        <v>586604000</v>
      </c>
      <c r="C89" s="161">
        <f>+ESF!H29</f>
        <v>1022833000</v>
      </c>
    </row>
    <row r="90" spans="1:3" x14ac:dyDescent="0.2">
      <c r="A90" s="20" t="s">
        <v>481</v>
      </c>
      <c r="B90" s="161">
        <f>+ESF!G36</f>
        <v>-848838343.1909194</v>
      </c>
      <c r="C90" s="161">
        <f>+ESF!H36</f>
        <v>290144790.59369111</v>
      </c>
    </row>
    <row r="95" spans="1:3" ht="15" x14ac:dyDescent="0.25">
      <c r="A95" s="17" t="s">
        <v>542</v>
      </c>
    </row>
    <row r="97" spans="1:8" x14ac:dyDescent="0.2">
      <c r="D97" s="28" t="s">
        <v>523</v>
      </c>
      <c r="E97" s="19"/>
    </row>
    <row r="98" spans="1:8" ht="15" x14ac:dyDescent="0.25">
      <c r="A98" s="20"/>
      <c r="B98" s="104" t="str">
        <f>+B83</f>
        <v>Año 20x3</v>
      </c>
      <c r="C98" s="104" t="str">
        <f>+C83</f>
        <v>Año 20x2</v>
      </c>
      <c r="D98" s="28"/>
      <c r="E98" s="19"/>
    </row>
    <row r="99" spans="1:8" ht="30" x14ac:dyDescent="0.25">
      <c r="A99" s="159" t="s">
        <v>543</v>
      </c>
      <c r="B99" s="108">
        <f>SUM(B100:B105)</f>
        <v>140612090</v>
      </c>
      <c r="C99" s="108">
        <f>SUM(C100:C105)</f>
        <v>-1001227060</v>
      </c>
      <c r="D99" s="28"/>
      <c r="E99" s="164"/>
    </row>
    <row r="100" spans="1:8" ht="28.5" x14ac:dyDescent="0.2">
      <c r="A100" s="165" t="s">
        <v>977</v>
      </c>
      <c r="B100" s="161">
        <f>-ESF!G14</f>
        <v>128978090</v>
      </c>
      <c r="C100" s="161">
        <f>-ESF!H14</f>
        <v>-1013880060</v>
      </c>
      <c r="D100" s="28"/>
      <c r="E100" s="164"/>
    </row>
    <row r="101" spans="1:8" ht="29.25" x14ac:dyDescent="0.25">
      <c r="A101" s="165" t="s">
        <v>978</v>
      </c>
      <c r="B101" s="161">
        <f>-ESF!G16</f>
        <v>120524676</v>
      </c>
      <c r="C101" s="161">
        <f>-ESF!H16</f>
        <v>-68160000</v>
      </c>
      <c r="D101" s="28"/>
      <c r="E101" s="166"/>
    </row>
    <row r="102" spans="1:8" ht="15" x14ac:dyDescent="0.25">
      <c r="A102" s="165" t="s">
        <v>979</v>
      </c>
      <c r="B102" s="161">
        <f>-ESF!G15</f>
        <v>0</v>
      </c>
      <c r="C102" s="161">
        <f>-ESF!H15</f>
        <v>0</v>
      </c>
      <c r="D102" s="28"/>
      <c r="E102" s="166"/>
    </row>
    <row r="103" spans="1:8" ht="29.25" x14ac:dyDescent="0.25">
      <c r="A103" s="165" t="s">
        <v>935</v>
      </c>
      <c r="B103" s="161">
        <f>+ESF!G30</f>
        <v>32648100</v>
      </c>
      <c r="C103" s="161">
        <f>+ESF!H30</f>
        <v>-5000000</v>
      </c>
      <c r="D103" s="28"/>
      <c r="E103" s="166"/>
    </row>
    <row r="104" spans="1:8" ht="29.25" x14ac:dyDescent="0.25">
      <c r="A104" s="165" t="s">
        <v>501</v>
      </c>
      <c r="B104" s="161">
        <f>-B38</f>
        <v>11634000</v>
      </c>
      <c r="C104" s="161">
        <f>-C38</f>
        <v>12653000</v>
      </c>
      <c r="D104" s="28"/>
      <c r="E104" s="167"/>
    </row>
    <row r="105" spans="1:8" ht="28.5" x14ac:dyDescent="0.2">
      <c r="A105" s="165" t="s">
        <v>544</v>
      </c>
      <c r="B105" s="161">
        <f>-B37</f>
        <v>-153172776</v>
      </c>
      <c r="C105" s="161">
        <f>-C37</f>
        <v>73160000</v>
      </c>
      <c r="D105" s="28"/>
      <c r="E105" s="19"/>
    </row>
    <row r="106" spans="1:8" x14ac:dyDescent="0.2">
      <c r="D106" s="28"/>
      <c r="E106" s="164"/>
    </row>
    <row r="107" spans="1:8" x14ac:dyDescent="0.2">
      <c r="D107" s="28"/>
      <c r="E107" s="164"/>
    </row>
    <row r="108" spans="1:8" ht="15" x14ac:dyDescent="0.25">
      <c r="D108" s="28"/>
      <c r="E108" s="166"/>
    </row>
    <row r="109" spans="1:8" x14ac:dyDescent="0.2">
      <c r="D109" s="28"/>
      <c r="E109" s="19"/>
    </row>
    <row r="110" spans="1:8" ht="15" x14ac:dyDescent="0.25">
      <c r="B110" s="104" t="str">
        <f>+B98</f>
        <v>Año 20x3</v>
      </c>
      <c r="C110" s="104" t="str">
        <f>+C98</f>
        <v>Año 20x2</v>
      </c>
      <c r="D110" s="28"/>
      <c r="H110" s="21"/>
    </row>
    <row r="111" spans="1:8" ht="15" x14ac:dyDescent="0.25">
      <c r="A111" s="159" t="s">
        <v>545</v>
      </c>
      <c r="B111" s="108">
        <f>SUM(B112:B118)</f>
        <v>-489516313</v>
      </c>
      <c r="C111" s="108">
        <f>SUM(C112:C118)</f>
        <v>-523685524</v>
      </c>
      <c r="D111" s="28"/>
      <c r="E111" s="28"/>
      <c r="F111" s="28"/>
      <c r="H111" s="28"/>
    </row>
    <row r="112" spans="1:8" x14ac:dyDescent="0.2">
      <c r="A112" s="20" t="s">
        <v>546</v>
      </c>
      <c r="B112" s="161">
        <f>-ESF!G19</f>
        <v>181122104</v>
      </c>
      <c r="C112" s="161">
        <f>-ESF!H19</f>
        <v>181122103</v>
      </c>
      <c r="D112" s="28"/>
      <c r="E112" s="28"/>
      <c r="F112" s="28"/>
      <c r="H112" s="28"/>
    </row>
    <row r="113" spans="1:8" x14ac:dyDescent="0.2">
      <c r="A113" s="20" t="s">
        <v>926</v>
      </c>
      <c r="B113" s="161"/>
      <c r="C113" s="161"/>
      <c r="D113" s="28"/>
      <c r="E113" s="28"/>
      <c r="F113" s="28"/>
      <c r="H113" s="28"/>
    </row>
    <row r="114" spans="1:8" x14ac:dyDescent="0.2">
      <c r="A114" s="20" t="s">
        <v>936</v>
      </c>
      <c r="B114" s="161"/>
      <c r="C114" s="161"/>
      <c r="D114" s="28"/>
      <c r="E114" s="168" t="s">
        <v>980</v>
      </c>
      <c r="F114" s="168">
        <f>+F115+F116</f>
        <v>47000000</v>
      </c>
      <c r="H114" s="28"/>
    </row>
    <row r="115" spans="1:8" x14ac:dyDescent="0.2">
      <c r="A115" s="20" t="s">
        <v>937</v>
      </c>
      <c r="B115" s="161">
        <f>-F115</f>
        <v>0</v>
      </c>
      <c r="C115" s="161">
        <f>-G115</f>
        <v>0</v>
      </c>
      <c r="D115" s="28"/>
      <c r="E115" s="28" t="s">
        <v>981</v>
      </c>
      <c r="F115" s="28">
        <v>0</v>
      </c>
      <c r="H115" s="28"/>
    </row>
    <row r="116" spans="1:8" x14ac:dyDescent="0.2">
      <c r="A116" s="20" t="s">
        <v>547</v>
      </c>
      <c r="B116" s="161">
        <f>-B10</f>
        <v>-43505095</v>
      </c>
      <c r="C116" s="161">
        <f>-C10</f>
        <v>-43505095</v>
      </c>
      <c r="D116" s="28"/>
      <c r="E116" s="28" t="s">
        <v>982</v>
      </c>
      <c r="F116" s="28">
        <f>-B25</f>
        <v>47000000</v>
      </c>
      <c r="H116" s="28"/>
    </row>
    <row r="117" spans="1:8" x14ac:dyDescent="0.2">
      <c r="A117" s="20" t="s">
        <v>548</v>
      </c>
      <c r="B117" s="161">
        <f>-B12</f>
        <v>-204776533</v>
      </c>
      <c r="C117" s="161">
        <f>-C12</f>
        <v>-204776532</v>
      </c>
      <c r="D117" s="28"/>
      <c r="E117" s="28"/>
      <c r="F117" s="28"/>
    </row>
    <row r="118" spans="1:8" x14ac:dyDescent="0.2">
      <c r="A118" s="20" t="s">
        <v>549</v>
      </c>
      <c r="B118" s="161">
        <f>-B13</f>
        <v>-422356789</v>
      </c>
      <c r="C118" s="161">
        <f>-C13</f>
        <v>-456526000</v>
      </c>
      <c r="D118" s="28"/>
      <c r="E118" s="28"/>
      <c r="F118" s="28"/>
    </row>
    <row r="119" spans="1:8" x14ac:dyDescent="0.2">
      <c r="D119" s="28"/>
      <c r="E119" s="28"/>
      <c r="F119" s="28"/>
    </row>
    <row r="120" spans="1:8" ht="15" x14ac:dyDescent="0.25">
      <c r="A120" s="22" t="s">
        <v>497</v>
      </c>
      <c r="B120" s="108">
        <f>+B122-B121-B123</f>
        <v>0</v>
      </c>
      <c r="C120" s="108">
        <f>+C122-C121</f>
        <v>0</v>
      </c>
      <c r="D120" s="28"/>
      <c r="E120" s="28"/>
      <c r="F120" s="28"/>
    </row>
    <row r="121" spans="1:8" x14ac:dyDescent="0.2">
      <c r="A121" s="20" t="s">
        <v>550</v>
      </c>
      <c r="B121" s="161"/>
      <c r="C121" s="161"/>
    </row>
    <row r="122" spans="1:8" x14ac:dyDescent="0.2">
      <c r="A122" s="20" t="s">
        <v>551</v>
      </c>
      <c r="B122" s="161"/>
      <c r="C122" s="161"/>
    </row>
    <row r="123" spans="1:8" x14ac:dyDescent="0.2">
      <c r="A123" s="20" t="s">
        <v>860</v>
      </c>
      <c r="B123" s="161"/>
      <c r="C123" s="161"/>
      <c r="D123" s="18" t="s">
        <v>939</v>
      </c>
    </row>
    <row r="125" spans="1:8" ht="15" x14ac:dyDescent="0.25">
      <c r="A125" s="17" t="s">
        <v>559</v>
      </c>
      <c r="B125" s="105" t="s">
        <v>552</v>
      </c>
      <c r="C125" s="105" t="s">
        <v>0</v>
      </c>
    </row>
    <row r="127" spans="1:8" ht="15" x14ac:dyDescent="0.25">
      <c r="A127" s="20"/>
      <c r="B127" s="104" t="str">
        <f>+B110</f>
        <v>Año 20x3</v>
      </c>
      <c r="C127" s="104" t="str">
        <f>+C110</f>
        <v>Año 20x2</v>
      </c>
    </row>
    <row r="128" spans="1:8" ht="15" x14ac:dyDescent="0.25">
      <c r="A128" s="22" t="s">
        <v>841</v>
      </c>
      <c r="B128" s="108">
        <f>+B129+B130</f>
        <v>47000000</v>
      </c>
      <c r="C128" s="108">
        <f>+C129+C130</f>
        <v>295000000</v>
      </c>
    </row>
    <row r="129" spans="1:3" x14ac:dyDescent="0.2">
      <c r="A129" s="20" t="s">
        <v>842</v>
      </c>
      <c r="B129" s="161">
        <f>-B25</f>
        <v>47000000</v>
      </c>
      <c r="C129" s="161">
        <f>-C25</f>
        <v>295000000</v>
      </c>
    </row>
    <row r="130" spans="1:3" x14ac:dyDescent="0.2">
      <c r="A130" s="20" t="s">
        <v>843</v>
      </c>
      <c r="B130" s="161">
        <f>-B115</f>
        <v>0</v>
      </c>
      <c r="C130" s="161">
        <f>-C115</f>
        <v>0</v>
      </c>
    </row>
    <row r="137" spans="1:3" ht="15" x14ac:dyDescent="0.25">
      <c r="A137" s="20"/>
      <c r="B137" s="104" t="str">
        <f>+B127</f>
        <v>Año 20x3</v>
      </c>
      <c r="C137" s="104" t="str">
        <f>+C127</f>
        <v>Año 20x2</v>
      </c>
    </row>
    <row r="138" spans="1:3" ht="15" x14ac:dyDescent="0.25">
      <c r="A138" s="159" t="s">
        <v>553</v>
      </c>
      <c r="B138" s="108">
        <f>SUM(B139:B141)</f>
        <v>-175978090</v>
      </c>
      <c r="C138" s="108">
        <f>SUM(C139:C141)</f>
        <v>-281119940</v>
      </c>
    </row>
    <row r="139" spans="1:3" x14ac:dyDescent="0.2">
      <c r="A139" s="20" t="s">
        <v>554</v>
      </c>
      <c r="B139" s="161">
        <f>-ESF!G20</f>
        <v>-47000000</v>
      </c>
      <c r="C139" s="161">
        <f>-ESF!H20</f>
        <v>-645000000</v>
      </c>
    </row>
    <row r="140" spans="1:3" x14ac:dyDescent="0.2">
      <c r="A140" s="20" t="s">
        <v>839</v>
      </c>
      <c r="B140" s="161">
        <f>-B39</f>
        <v>-128978090</v>
      </c>
      <c r="C140" s="161">
        <f>-C39</f>
        <v>363880060</v>
      </c>
    </row>
    <row r="141" spans="1:3" x14ac:dyDescent="0.2">
      <c r="A141" s="20" t="s">
        <v>927</v>
      </c>
      <c r="B141" s="161">
        <f>-ESF!G22</f>
        <v>0</v>
      </c>
      <c r="C141" s="161">
        <f>-ESF!H22</f>
        <v>0</v>
      </c>
    </row>
    <row r="146" spans="1:3" ht="15" x14ac:dyDescent="0.25">
      <c r="A146" s="20"/>
      <c r="B146" s="104" t="str">
        <f>+B137</f>
        <v>Año 20x3</v>
      </c>
      <c r="C146" s="104" t="str">
        <f>+C137</f>
        <v>Año 20x2</v>
      </c>
    </row>
    <row r="147" spans="1:3" ht="15" x14ac:dyDescent="0.25">
      <c r="A147" s="159" t="s">
        <v>13</v>
      </c>
      <c r="B147" s="108">
        <f>SUM(B148:B149)</f>
        <v>-64348871</v>
      </c>
      <c r="C147" s="108">
        <f>SUM(C148:C149)</f>
        <v>-36448430</v>
      </c>
    </row>
    <row r="148" spans="1:3" x14ac:dyDescent="0.2">
      <c r="A148" s="20" t="s">
        <v>555</v>
      </c>
      <c r="B148" s="161">
        <f>-ESF!G21</f>
        <v>13000000</v>
      </c>
      <c r="C148" s="161">
        <f>-ESF!H21</f>
        <v>13000000</v>
      </c>
    </row>
    <row r="149" spans="1:3" x14ac:dyDescent="0.2">
      <c r="A149" s="20" t="s">
        <v>502</v>
      </c>
      <c r="B149" s="161">
        <f>-B11</f>
        <v>-77348871</v>
      </c>
      <c r="C149" s="161">
        <f>-C11</f>
        <v>-49448430</v>
      </c>
    </row>
    <row r="150" spans="1:3" x14ac:dyDescent="0.2">
      <c r="A150" s="18" t="s">
        <v>0</v>
      </c>
    </row>
    <row r="152" spans="1:3" ht="15" x14ac:dyDescent="0.25">
      <c r="A152" s="20"/>
      <c r="B152" s="104" t="str">
        <f>+B146</f>
        <v>Año 20x3</v>
      </c>
      <c r="C152" s="104" t="str">
        <f>+C146</f>
        <v>Año 20x2</v>
      </c>
    </row>
    <row r="153" spans="1:3" ht="15" x14ac:dyDescent="0.25">
      <c r="A153" s="159" t="s">
        <v>503</v>
      </c>
      <c r="B153" s="108">
        <f>SUM(B154:B155)</f>
        <v>-585340116</v>
      </c>
      <c r="C153" s="108">
        <f>SUM(C154:C155)</f>
        <v>-516636644</v>
      </c>
    </row>
    <row r="154" spans="1:3" x14ac:dyDescent="0.2">
      <c r="A154" s="20" t="s">
        <v>556</v>
      </c>
      <c r="B154" s="161">
        <f>+ESF!G37</f>
        <v>0</v>
      </c>
      <c r="C154" s="161">
        <f>+ESF!H37</f>
        <v>0</v>
      </c>
    </row>
    <row r="155" spans="1:3" ht="15.75" customHeight="1" x14ac:dyDescent="0.2">
      <c r="A155" s="20" t="s">
        <v>556</v>
      </c>
      <c r="B155" s="161">
        <f>+ESF!G32</f>
        <v>-585340116</v>
      </c>
      <c r="C155" s="161">
        <f>+ESF!H32</f>
        <v>-516636644</v>
      </c>
    </row>
    <row r="160" spans="1:3" ht="15" x14ac:dyDescent="0.25">
      <c r="A160" s="20"/>
      <c r="B160" s="104" t="str">
        <f>+B152</f>
        <v>Año 20x3</v>
      </c>
      <c r="C160" s="104" t="str">
        <f>+C152</f>
        <v>Año 20x2</v>
      </c>
    </row>
    <row r="161" spans="1:4" ht="15" x14ac:dyDescent="0.25">
      <c r="A161" s="159" t="s">
        <v>461</v>
      </c>
      <c r="B161" s="108">
        <f>+B162-B163</f>
        <v>-304608339.00000191</v>
      </c>
      <c r="C161" s="108">
        <f>+C162-C163</f>
        <v>-368291031.00000191</v>
      </c>
    </row>
    <row r="162" spans="1:4" x14ac:dyDescent="0.2">
      <c r="A162" s="20" t="s">
        <v>840</v>
      </c>
      <c r="B162" s="161">
        <f>+ESF!G43</f>
        <v>5453581071.6709175</v>
      </c>
      <c r="C162" s="161">
        <f>+ESF!H43</f>
        <v>3788945993.4063072</v>
      </c>
    </row>
    <row r="163" spans="1:4" x14ac:dyDescent="0.2">
      <c r="A163" s="20" t="s">
        <v>504</v>
      </c>
      <c r="B163" s="161">
        <f>+ERI!C23</f>
        <v>5758189410.6709194</v>
      </c>
      <c r="C163" s="161">
        <f>+ERI!D23</f>
        <v>4157237024.4063091</v>
      </c>
    </row>
    <row r="167" spans="1:4" ht="15" x14ac:dyDescent="0.25">
      <c r="A167" s="20"/>
      <c r="B167" s="104" t="str">
        <f>+B160</f>
        <v>Año 20x3</v>
      </c>
      <c r="C167" s="104" t="str">
        <f>+C160</f>
        <v>Año 20x2</v>
      </c>
    </row>
    <row r="168" spans="1:4" ht="15" x14ac:dyDescent="0.25">
      <c r="A168" s="159" t="s">
        <v>141</v>
      </c>
      <c r="B168" s="108">
        <f>SUM(B169:B171)</f>
        <v>22000000</v>
      </c>
      <c r="C168" s="108">
        <f>SUM(C169:C171)</f>
        <v>15000000</v>
      </c>
      <c r="D168" s="18" t="s">
        <v>1047</v>
      </c>
    </row>
    <row r="169" spans="1:4" x14ac:dyDescent="0.2">
      <c r="A169" s="20" t="s">
        <v>557</v>
      </c>
      <c r="B169" s="161"/>
      <c r="C169" s="161"/>
    </row>
    <row r="170" spans="1:4" x14ac:dyDescent="0.2">
      <c r="A170" s="20" t="s">
        <v>928</v>
      </c>
      <c r="B170" s="161">
        <f>-B30</f>
        <v>22000000</v>
      </c>
      <c r="C170" s="161">
        <f>-C30</f>
        <v>15000000</v>
      </c>
    </row>
    <row r="171" spans="1:4" x14ac:dyDescent="0.2">
      <c r="A171" s="20" t="s">
        <v>929</v>
      </c>
      <c r="B171" s="161"/>
      <c r="C171" s="161"/>
    </row>
    <row r="173" spans="1:4" x14ac:dyDescent="0.2">
      <c r="A173" s="18" t="s">
        <v>558</v>
      </c>
      <c r="B173" s="105">
        <f>+Acciones!E85</f>
        <v>0</v>
      </c>
      <c r="C173" s="105">
        <f>+Acciones!E50</f>
        <v>0</v>
      </c>
    </row>
    <row r="175" spans="1:4" ht="15" x14ac:dyDescent="0.25">
      <c r="A175" s="169"/>
    </row>
  </sheetData>
  <pageMargins left="0.7" right="0.7" top="0.75" bottom="0.75" header="0.3" footer="0.3"/>
  <pageSetup scale="86" fitToHeight="0" orientation="portrait" horizontalDpi="4294967293" verticalDpi="429496729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H761"/>
  <sheetViews>
    <sheetView showGridLines="0" topLeftCell="A675" zoomScale="160" zoomScaleNormal="160" workbookViewId="0">
      <selection activeCell="A211" sqref="A211"/>
    </sheetView>
  </sheetViews>
  <sheetFormatPr baseColWidth="10" defaultRowHeight="12.75" x14ac:dyDescent="0.2"/>
  <cols>
    <col min="1" max="1" width="37.42578125" style="52" customWidth="1"/>
    <col min="2" max="5" width="19.85546875" style="52" customWidth="1"/>
    <col min="6" max="8" width="20.140625" style="52" customWidth="1"/>
    <col min="9" max="16384" width="11.42578125" style="52"/>
  </cols>
  <sheetData>
    <row r="2" spans="1:8" x14ac:dyDescent="0.2">
      <c r="A2" s="51" t="s">
        <v>966</v>
      </c>
      <c r="B2" s="1578" t="s">
        <v>2151</v>
      </c>
      <c r="C2" s="1578"/>
      <c r="D2" s="31" t="s">
        <v>2152</v>
      </c>
    </row>
    <row r="3" spans="1:8" x14ac:dyDescent="0.2">
      <c r="B3" s="53" t="s">
        <v>2142</v>
      </c>
      <c r="C3" s="53" t="s">
        <v>2143</v>
      </c>
      <c r="D3" s="53" t="s">
        <v>2143</v>
      </c>
      <c r="F3" s="52" t="s">
        <v>0</v>
      </c>
      <c r="G3" s="52" t="s">
        <v>0</v>
      </c>
    </row>
    <row r="4" spans="1:8" x14ac:dyDescent="0.2">
      <c r="A4" s="52" t="s">
        <v>560</v>
      </c>
      <c r="B4" s="54">
        <v>0</v>
      </c>
      <c r="C4" s="54">
        <v>0</v>
      </c>
      <c r="D4" s="54">
        <v>0</v>
      </c>
    </row>
    <row r="5" spans="1:8" x14ac:dyDescent="0.2">
      <c r="A5" s="52" t="s">
        <v>130</v>
      </c>
      <c r="B5" s="54">
        <v>0</v>
      </c>
      <c r="C5" s="54">
        <v>0</v>
      </c>
      <c r="D5" s="54">
        <v>0</v>
      </c>
    </row>
    <row r="6" spans="1:8" x14ac:dyDescent="0.2">
      <c r="A6" s="52" t="s">
        <v>822</v>
      </c>
      <c r="B6" s="55">
        <v>0</v>
      </c>
      <c r="C6" s="58">
        <v>0</v>
      </c>
      <c r="D6" s="58">
        <v>0</v>
      </c>
    </row>
    <row r="7" spans="1:8" x14ac:dyDescent="0.2">
      <c r="A7" s="56"/>
      <c r="B7" s="57">
        <f>SUM(B4:B6)</f>
        <v>0</v>
      </c>
      <c r="C7" s="57">
        <f>SUM(C4:C6)</f>
        <v>0</v>
      </c>
      <c r="D7" s="57">
        <f>SUM(D4:D6)</f>
        <v>0</v>
      </c>
    </row>
    <row r="8" spans="1:8" x14ac:dyDescent="0.2">
      <c r="B8" s="82">
        <f>+B7-ESF!C8</f>
        <v>-8638117839</v>
      </c>
      <c r="C8" s="82">
        <f>+C7-ESF!D8</f>
        <v>-4030980742</v>
      </c>
      <c r="D8" s="82">
        <f>+D7-ESF!E8</f>
        <v>-1515485000</v>
      </c>
    </row>
    <row r="15" spans="1:8" ht="25.5" x14ac:dyDescent="0.2">
      <c r="A15" s="64" t="s">
        <v>562</v>
      </c>
      <c r="B15" s="1578" t="s">
        <v>426</v>
      </c>
      <c r="C15" s="1578"/>
      <c r="D15" s="31" t="s">
        <v>427</v>
      </c>
      <c r="H15" s="52" t="s">
        <v>563</v>
      </c>
    </row>
    <row r="16" spans="1:8" x14ac:dyDescent="0.2">
      <c r="B16" s="53" t="str">
        <f>+B3</f>
        <v>20x3</v>
      </c>
      <c r="C16" s="53" t="str">
        <f t="shared" ref="C16:D16" si="0">+C3</f>
        <v>20x2</v>
      </c>
      <c r="D16" s="53" t="str">
        <f t="shared" si="0"/>
        <v>20x2</v>
      </c>
      <c r="G16" s="52" t="s">
        <v>564</v>
      </c>
      <c r="H16" s="52" t="s">
        <v>565</v>
      </c>
    </row>
    <row r="17" spans="1:8" x14ac:dyDescent="0.2">
      <c r="A17" s="52" t="s">
        <v>566</v>
      </c>
      <c r="B17" s="54"/>
      <c r="C17" s="54"/>
      <c r="D17" s="54"/>
      <c r="E17" s="52" t="s">
        <v>983</v>
      </c>
      <c r="H17" s="52" t="s">
        <v>567</v>
      </c>
    </row>
    <row r="18" spans="1:8" x14ac:dyDescent="0.2">
      <c r="A18" s="52" t="s">
        <v>254</v>
      </c>
      <c r="B18" s="54"/>
      <c r="C18" s="54"/>
      <c r="D18" s="54"/>
      <c r="H18" s="52" t="s">
        <v>568</v>
      </c>
    </row>
    <row r="19" spans="1:8" x14ac:dyDescent="0.2">
      <c r="A19" s="52" t="s">
        <v>569</v>
      </c>
      <c r="C19" s="54"/>
      <c r="D19" s="54"/>
      <c r="H19" s="52" t="s">
        <v>570</v>
      </c>
    </row>
    <row r="20" spans="1:8" x14ac:dyDescent="0.2">
      <c r="A20" s="52" t="s">
        <v>571</v>
      </c>
      <c r="E20" s="54"/>
    </row>
    <row r="21" spans="1:8" x14ac:dyDescent="0.2">
      <c r="A21" s="52" t="s">
        <v>572</v>
      </c>
      <c r="B21" s="54"/>
      <c r="C21" s="54"/>
      <c r="D21" s="54"/>
    </row>
    <row r="22" spans="1:8" x14ac:dyDescent="0.2">
      <c r="A22" s="52" t="s">
        <v>573</v>
      </c>
      <c r="E22" s="54"/>
      <c r="F22" s="52" t="s">
        <v>574</v>
      </c>
    </row>
    <row r="23" spans="1:8" x14ac:dyDescent="0.2">
      <c r="A23" s="52" t="s">
        <v>575</v>
      </c>
      <c r="B23" s="54"/>
      <c r="C23" s="54"/>
      <c r="D23" s="54"/>
      <c r="F23" s="52" t="s">
        <v>576</v>
      </c>
    </row>
    <row r="24" spans="1:8" x14ac:dyDescent="0.2">
      <c r="A24" s="52" t="s">
        <v>11</v>
      </c>
      <c r="B24" s="54"/>
      <c r="C24" s="54"/>
      <c r="D24" s="54"/>
    </row>
    <row r="25" spans="1:8" x14ac:dyDescent="0.2">
      <c r="A25" s="52" t="s">
        <v>577</v>
      </c>
      <c r="D25" s="54"/>
    </row>
    <row r="26" spans="1:8" x14ac:dyDescent="0.2">
      <c r="A26" s="52" t="s">
        <v>863</v>
      </c>
      <c r="B26" s="170"/>
      <c r="C26" s="170"/>
      <c r="D26" s="170"/>
    </row>
    <row r="27" spans="1:8" x14ac:dyDescent="0.2">
      <c r="A27" s="56" t="s">
        <v>579</v>
      </c>
      <c r="B27" s="57">
        <f>SUM(B17:B26)</f>
        <v>0</v>
      </c>
      <c r="C27" s="57">
        <f>SUM(C17:C26)</f>
        <v>0</v>
      </c>
      <c r="D27" s="57">
        <f>SUM(D17:D26)</f>
        <v>0</v>
      </c>
    </row>
    <row r="28" spans="1:8" x14ac:dyDescent="0.2">
      <c r="A28" s="56"/>
      <c r="B28" s="82">
        <f>+B27-ESF!C9-ESF!C10</f>
        <v>-1461760359</v>
      </c>
      <c r="C28" s="82">
        <f>+C27-ESF!D9-ESF!D10</f>
        <v>-1479597444</v>
      </c>
      <c r="D28" s="82">
        <f>+D27-ESF!E9-ESF!E10</f>
        <v>-907344784</v>
      </c>
    </row>
    <row r="29" spans="1:8" x14ac:dyDescent="0.2">
      <c r="A29" s="56"/>
      <c r="B29" s="57"/>
      <c r="C29" s="57"/>
    </row>
    <row r="31" spans="1:8" x14ac:dyDescent="0.2">
      <c r="B31" s="1578" t="s">
        <v>426</v>
      </c>
      <c r="C31" s="1578"/>
    </row>
    <row r="32" spans="1:8" x14ac:dyDescent="0.2">
      <c r="B32" s="53" t="str">
        <f>+B16</f>
        <v>20x3</v>
      </c>
      <c r="C32" s="53" t="str">
        <f>+C16</f>
        <v>20x2</v>
      </c>
    </row>
    <row r="33" spans="1:4" x14ac:dyDescent="0.2">
      <c r="A33" s="52" t="s">
        <v>580</v>
      </c>
    </row>
    <row r="34" spans="1:4" x14ac:dyDescent="0.2">
      <c r="A34" s="52" t="s">
        <v>581</v>
      </c>
    </row>
    <row r="35" spans="1:4" x14ac:dyDescent="0.2">
      <c r="A35" s="52" t="s">
        <v>582</v>
      </c>
      <c r="B35" s="55"/>
      <c r="C35" s="55"/>
    </row>
    <row r="36" spans="1:4" x14ac:dyDescent="0.2">
      <c r="A36" s="51" t="s">
        <v>583</v>
      </c>
    </row>
    <row r="39" spans="1:4" x14ac:dyDescent="0.2">
      <c r="A39" s="52" t="s">
        <v>584</v>
      </c>
      <c r="B39" s="1578" t="s">
        <v>426</v>
      </c>
      <c r="C39" s="1578"/>
    </row>
    <row r="40" spans="1:4" x14ac:dyDescent="0.2">
      <c r="B40" s="53" t="str">
        <f>+B32</f>
        <v>20x3</v>
      </c>
      <c r="C40" s="53" t="str">
        <f>+C32</f>
        <v>20x2</v>
      </c>
    </row>
    <row r="41" spans="1:4" x14ac:dyDescent="0.2">
      <c r="A41" s="52" t="s">
        <v>289</v>
      </c>
      <c r="B41" s="59"/>
      <c r="C41" s="59"/>
    </row>
    <row r="42" spans="1:4" x14ac:dyDescent="0.2">
      <c r="A42" s="52" t="s">
        <v>585</v>
      </c>
      <c r="B42" s="59"/>
      <c r="C42" s="59"/>
    </row>
    <row r="43" spans="1:4" x14ac:dyDescent="0.2">
      <c r="A43" s="52" t="s">
        <v>586</v>
      </c>
      <c r="B43" s="59"/>
      <c r="C43" s="59"/>
    </row>
    <row r="44" spans="1:4" x14ac:dyDescent="0.2">
      <c r="A44" s="52" t="s">
        <v>587</v>
      </c>
      <c r="B44" s="60"/>
      <c r="C44" s="60"/>
    </row>
    <row r="45" spans="1:4" x14ac:dyDescent="0.2">
      <c r="A45" s="51" t="s">
        <v>177</v>
      </c>
      <c r="B45" s="61">
        <f>SUM(B41:B44)</f>
        <v>0</v>
      </c>
      <c r="C45" s="61">
        <f>SUM(C41:C44)</f>
        <v>0</v>
      </c>
    </row>
    <row r="47" spans="1:4" x14ac:dyDescent="0.2">
      <c r="B47" s="62"/>
      <c r="C47" s="62"/>
      <c r="D47" s="63" t="s">
        <v>588</v>
      </c>
    </row>
    <row r="50" spans="1:3" x14ac:dyDescent="0.2">
      <c r="A50" s="64" t="s">
        <v>428</v>
      </c>
      <c r="B50" s="1578" t="s">
        <v>426</v>
      </c>
      <c r="C50" s="1578"/>
    </row>
    <row r="51" spans="1:3" x14ac:dyDescent="0.2">
      <c r="B51" s="53" t="str">
        <f>+B40</f>
        <v>20x3</v>
      </c>
      <c r="C51" s="53" t="str">
        <f>+C40</f>
        <v>20x2</v>
      </c>
    </row>
    <row r="52" spans="1:3" x14ac:dyDescent="0.2">
      <c r="A52" s="52" t="s">
        <v>589</v>
      </c>
      <c r="B52" s="54"/>
      <c r="C52" s="54"/>
    </row>
    <row r="53" spans="1:3" x14ac:dyDescent="0.2">
      <c r="A53" s="52" t="s">
        <v>590</v>
      </c>
    </row>
    <row r="54" spans="1:3" x14ac:dyDescent="0.2">
      <c r="A54" s="52" t="s">
        <v>64</v>
      </c>
      <c r="B54" s="54"/>
      <c r="C54" s="54"/>
    </row>
    <row r="55" spans="1:3" x14ac:dyDescent="0.2">
      <c r="A55" s="52" t="s">
        <v>591</v>
      </c>
    </row>
    <row r="56" spans="1:3" x14ac:dyDescent="0.2">
      <c r="A56" s="52" t="s">
        <v>592</v>
      </c>
    </row>
    <row r="57" spans="1:3" x14ac:dyDescent="0.2">
      <c r="A57" s="52" t="s">
        <v>593</v>
      </c>
    </row>
    <row r="58" spans="1:3" ht="15.75" customHeight="1" x14ac:dyDescent="0.2">
      <c r="A58" s="52" t="s">
        <v>594</v>
      </c>
    </row>
    <row r="59" spans="1:3" ht="15.75" customHeight="1" x14ac:dyDescent="0.2">
      <c r="A59" s="52" t="s">
        <v>578</v>
      </c>
      <c r="B59" s="58"/>
      <c r="C59" s="58"/>
    </row>
    <row r="60" spans="1:3" x14ac:dyDescent="0.2">
      <c r="A60" s="64" t="s">
        <v>595</v>
      </c>
      <c r="B60" s="57">
        <f>SUM(B52:B59)</f>
        <v>0</v>
      </c>
      <c r="C60" s="57">
        <f>SUM(C52:C59)</f>
        <v>0</v>
      </c>
    </row>
    <row r="61" spans="1:3" x14ac:dyDescent="0.2">
      <c r="A61" s="64"/>
    </row>
    <row r="62" spans="1:3" ht="25.5" x14ac:dyDescent="0.2">
      <c r="A62" s="65" t="s">
        <v>596</v>
      </c>
    </row>
    <row r="63" spans="1:3" x14ac:dyDescent="0.2">
      <c r="A63" s="64"/>
    </row>
    <row r="66" spans="1:3" x14ac:dyDescent="0.2">
      <c r="A66" s="52" t="s">
        <v>597</v>
      </c>
      <c r="B66" s="1578" t="s">
        <v>426</v>
      </c>
      <c r="C66" s="1578"/>
    </row>
    <row r="67" spans="1:3" x14ac:dyDescent="0.2">
      <c r="B67" s="53" t="str">
        <f>+B51</f>
        <v>20x3</v>
      </c>
      <c r="C67" s="53" t="str">
        <f>+C51</f>
        <v>20x2</v>
      </c>
    </row>
    <row r="68" spans="1:3" x14ac:dyDescent="0.2">
      <c r="A68" s="52" t="s">
        <v>289</v>
      </c>
      <c r="B68" s="54"/>
      <c r="C68" s="54"/>
    </row>
    <row r="69" spans="1:3" x14ac:dyDescent="0.2">
      <c r="A69" s="52" t="s">
        <v>585</v>
      </c>
      <c r="B69" s="54"/>
      <c r="C69" s="54"/>
    </row>
    <row r="70" spans="1:3" x14ac:dyDescent="0.2">
      <c r="A70" s="52" t="s">
        <v>586</v>
      </c>
    </row>
    <row r="71" spans="1:3" x14ac:dyDescent="0.2">
      <c r="A71" s="52" t="s">
        <v>598</v>
      </c>
      <c r="B71" s="55"/>
      <c r="C71" s="55"/>
    </row>
    <row r="72" spans="1:3" x14ac:dyDescent="0.2">
      <c r="A72" s="51" t="s">
        <v>177</v>
      </c>
      <c r="B72" s="57">
        <f>SUM(B68:B71)</f>
        <v>0</v>
      </c>
      <c r="C72" s="57">
        <f>SUM(C68:C71)</f>
        <v>0</v>
      </c>
    </row>
    <row r="80" spans="1:3" x14ac:dyDescent="0.2">
      <c r="A80" s="64" t="s">
        <v>72</v>
      </c>
    </row>
    <row r="82" spans="1:4" x14ac:dyDescent="0.2">
      <c r="A82" s="52" t="s">
        <v>599</v>
      </c>
      <c r="B82" s="1578" t="s">
        <v>426</v>
      </c>
      <c r="C82" s="1578"/>
    </row>
    <row r="83" spans="1:4" x14ac:dyDescent="0.2">
      <c r="B83" s="53" t="str">
        <f>+B67</f>
        <v>20x3</v>
      </c>
      <c r="C83" s="53" t="str">
        <f>+C67</f>
        <v>20x2</v>
      </c>
    </row>
    <row r="84" spans="1:4" x14ac:dyDescent="0.2">
      <c r="A84" s="65" t="s">
        <v>289</v>
      </c>
      <c r="B84" s="171">
        <f>+ESF!D12+ESF!D23</f>
        <v>1699000000</v>
      </c>
      <c r="C84" s="171">
        <f>+ESF!E12+ESF!E23</f>
        <v>1086706000</v>
      </c>
    </row>
    <row r="85" spans="1:4" ht="32.25" customHeight="1" x14ac:dyDescent="0.2">
      <c r="A85" s="65" t="s">
        <v>600</v>
      </c>
      <c r="B85" s="171">
        <f>+Inventarios!J154-Inventarios!I154</f>
        <v>32067000</v>
      </c>
      <c r="C85" s="171">
        <f>+Inventarios!J88-Inventarios!I88</f>
        <v>16294000</v>
      </c>
    </row>
    <row r="86" spans="1:4" ht="25.5" x14ac:dyDescent="0.2">
      <c r="A86" s="65" t="s">
        <v>601</v>
      </c>
      <c r="B86" s="171">
        <f>+Inventarios!E154</f>
        <v>322000000</v>
      </c>
      <c r="C86" s="171">
        <f>+Inventarios!E88</f>
        <v>800000000</v>
      </c>
    </row>
    <row r="87" spans="1:4" x14ac:dyDescent="0.2">
      <c r="A87" s="65" t="s">
        <v>603</v>
      </c>
      <c r="B87" s="171">
        <f>+Inventarios!H154</f>
        <v>-274067000</v>
      </c>
      <c r="C87" s="171">
        <f>+Inventarios!H88</f>
        <v>-269000000</v>
      </c>
    </row>
    <row r="88" spans="1:4" x14ac:dyDescent="0.2">
      <c r="A88" s="65" t="s">
        <v>846</v>
      </c>
      <c r="B88" s="171">
        <f>+Inventarios!F154</f>
        <v>148000000</v>
      </c>
      <c r="C88" s="171">
        <f>+Inventarios!F88</f>
        <v>100000000</v>
      </c>
    </row>
    <row r="89" spans="1:4" x14ac:dyDescent="0.2">
      <c r="A89" s="65" t="s">
        <v>847</v>
      </c>
      <c r="B89" s="171">
        <f>+Inventarios!G154</f>
        <v>-46000000</v>
      </c>
      <c r="C89" s="171">
        <f>+Inventarios!G88</f>
        <v>-35000000</v>
      </c>
    </row>
    <row r="90" spans="1:4" ht="25.5" x14ac:dyDescent="0.2">
      <c r="A90" s="65" t="s">
        <v>605</v>
      </c>
      <c r="B90" s="171"/>
      <c r="C90" s="171"/>
    </row>
    <row r="91" spans="1:4" ht="25.5" x14ac:dyDescent="0.2">
      <c r="A91" s="65" t="s">
        <v>606</v>
      </c>
      <c r="B91" s="171"/>
      <c r="C91" s="171"/>
    </row>
    <row r="92" spans="1:4" x14ac:dyDescent="0.2">
      <c r="A92" s="65" t="s">
        <v>607</v>
      </c>
      <c r="B92" s="170"/>
      <c r="C92" s="170"/>
    </row>
    <row r="93" spans="1:4" x14ac:dyDescent="0.2">
      <c r="A93" s="64" t="s">
        <v>177</v>
      </c>
      <c r="B93" s="66">
        <f>SUM(B84:B92)</f>
        <v>1881000000</v>
      </c>
      <c r="C93" s="66">
        <f>SUM(C84:C92)</f>
        <v>1699000000</v>
      </c>
    </row>
    <row r="95" spans="1:4" x14ac:dyDescent="0.2">
      <c r="B95" s="62">
        <f>+ESF!C23+ESF!C12-B93</f>
        <v>0</v>
      </c>
      <c r="C95" s="62">
        <f>+ESF!D23+ESF!D12-C93</f>
        <v>0</v>
      </c>
      <c r="D95" s="52" t="s">
        <v>588</v>
      </c>
    </row>
    <row r="97" spans="1:3" x14ac:dyDescent="0.2">
      <c r="A97" s="52" t="s">
        <v>608</v>
      </c>
    </row>
    <row r="99" spans="1:3" x14ac:dyDescent="0.2">
      <c r="A99" s="52" t="s">
        <v>599</v>
      </c>
    </row>
    <row r="100" spans="1:3" ht="25.5" x14ac:dyDescent="0.2">
      <c r="B100" s="67" t="s">
        <v>609</v>
      </c>
      <c r="C100" s="67" t="s">
        <v>610</v>
      </c>
    </row>
    <row r="101" spans="1:3" x14ac:dyDescent="0.2">
      <c r="A101" s="64" t="s">
        <v>1042</v>
      </c>
      <c r="B101" s="55"/>
      <c r="C101" s="55"/>
    </row>
    <row r="102" spans="1:3" ht="38.25" x14ac:dyDescent="0.2">
      <c r="A102" s="65" t="s">
        <v>600</v>
      </c>
    </row>
    <row r="103" spans="1:3" ht="25.5" x14ac:dyDescent="0.2">
      <c r="A103" s="65" t="s">
        <v>601</v>
      </c>
    </row>
    <row r="104" spans="1:3" ht="25.5" x14ac:dyDescent="0.2">
      <c r="A104" s="65" t="s">
        <v>602</v>
      </c>
    </row>
    <row r="105" spans="1:3" x14ac:dyDescent="0.2">
      <c r="A105" s="65" t="s">
        <v>603</v>
      </c>
    </row>
    <row r="106" spans="1:3" x14ac:dyDescent="0.2">
      <c r="A106" s="65" t="s">
        <v>604</v>
      </c>
    </row>
    <row r="107" spans="1:3" ht="25.5" x14ac:dyDescent="0.2">
      <c r="A107" s="65" t="s">
        <v>605</v>
      </c>
    </row>
    <row r="108" spans="1:3" ht="25.5" x14ac:dyDescent="0.2">
      <c r="A108" s="65" t="s">
        <v>606</v>
      </c>
    </row>
    <row r="109" spans="1:3" x14ac:dyDescent="0.2">
      <c r="A109" s="65" t="s">
        <v>607</v>
      </c>
      <c r="B109" s="55"/>
      <c r="C109" s="55"/>
    </row>
    <row r="110" spans="1:3" x14ac:dyDescent="0.2">
      <c r="A110" s="64" t="s">
        <v>1043</v>
      </c>
    </row>
    <row r="111" spans="1:3" ht="38.25" x14ac:dyDescent="0.2">
      <c r="A111" s="65" t="s">
        <v>600</v>
      </c>
    </row>
    <row r="112" spans="1:3" ht="25.5" x14ac:dyDescent="0.2">
      <c r="A112" s="65" t="s">
        <v>601</v>
      </c>
    </row>
    <row r="113" spans="1:3" ht="25.5" x14ac:dyDescent="0.2">
      <c r="A113" s="65" t="s">
        <v>602</v>
      </c>
    </row>
    <row r="114" spans="1:3" x14ac:dyDescent="0.2">
      <c r="A114" s="65" t="s">
        <v>603</v>
      </c>
    </row>
    <row r="115" spans="1:3" x14ac:dyDescent="0.2">
      <c r="A115" s="65" t="s">
        <v>604</v>
      </c>
    </row>
    <row r="116" spans="1:3" ht="25.5" x14ac:dyDescent="0.2">
      <c r="A116" s="65" t="s">
        <v>605</v>
      </c>
    </row>
    <row r="117" spans="1:3" ht="25.5" x14ac:dyDescent="0.2">
      <c r="A117" s="65" t="s">
        <v>606</v>
      </c>
    </row>
    <row r="118" spans="1:3" x14ac:dyDescent="0.2">
      <c r="A118" s="65" t="s">
        <v>607</v>
      </c>
      <c r="B118" s="55"/>
      <c r="C118" s="55"/>
    </row>
    <row r="119" spans="1:3" x14ac:dyDescent="0.2">
      <c r="A119" s="64" t="s">
        <v>1044</v>
      </c>
    </row>
    <row r="124" spans="1:3" x14ac:dyDescent="0.2">
      <c r="A124" s="52" t="s">
        <v>611</v>
      </c>
      <c r="B124" s="1578" t="s">
        <v>426</v>
      </c>
      <c r="C124" s="1578"/>
    </row>
    <row r="125" spans="1:3" x14ac:dyDescent="0.2">
      <c r="B125" s="53" t="str">
        <f>+B83</f>
        <v>20x3</v>
      </c>
      <c r="C125" s="53" t="str">
        <f>+C83</f>
        <v>20x2</v>
      </c>
    </row>
    <row r="126" spans="1:3" x14ac:dyDescent="0.2">
      <c r="A126" s="65" t="s">
        <v>289</v>
      </c>
    </row>
    <row r="127" spans="1:3" x14ac:dyDescent="0.2">
      <c r="A127" s="65" t="s">
        <v>290</v>
      </c>
    </row>
    <row r="128" spans="1:3" ht="25.5" x14ac:dyDescent="0.2">
      <c r="A128" s="65" t="s">
        <v>602</v>
      </c>
    </row>
    <row r="129" spans="1:3" x14ac:dyDescent="0.2">
      <c r="A129" s="65" t="s">
        <v>612</v>
      </c>
    </row>
    <row r="130" spans="1:3" x14ac:dyDescent="0.2">
      <c r="A130" s="65" t="s">
        <v>7</v>
      </c>
    </row>
    <row r="131" spans="1:3" x14ac:dyDescent="0.2">
      <c r="A131" s="65" t="s">
        <v>603</v>
      </c>
    </row>
    <row r="132" spans="1:3" x14ac:dyDescent="0.2">
      <c r="A132" s="65" t="s">
        <v>604</v>
      </c>
    </row>
    <row r="133" spans="1:3" ht="25.5" x14ac:dyDescent="0.2">
      <c r="A133" s="65" t="s">
        <v>606</v>
      </c>
    </row>
    <row r="134" spans="1:3" x14ac:dyDescent="0.2">
      <c r="A134" s="65" t="s">
        <v>607</v>
      </c>
      <c r="B134" s="55"/>
      <c r="C134" s="55"/>
    </row>
    <row r="135" spans="1:3" x14ac:dyDescent="0.2">
      <c r="A135" s="64" t="s">
        <v>177</v>
      </c>
    </row>
    <row r="137" spans="1:3" x14ac:dyDescent="0.2">
      <c r="B137" s="1578" t="s">
        <v>426</v>
      </c>
      <c r="C137" s="1578"/>
    </row>
    <row r="138" spans="1:3" x14ac:dyDescent="0.2">
      <c r="B138" s="53" t="str">
        <f>+B125</f>
        <v>20x3</v>
      </c>
      <c r="C138" s="53" t="str">
        <f>+C125</f>
        <v>20x2</v>
      </c>
    </row>
    <row r="139" spans="1:3" x14ac:dyDescent="0.2">
      <c r="A139" s="52" t="s">
        <v>580</v>
      </c>
    </row>
    <row r="140" spans="1:3" x14ac:dyDescent="0.2">
      <c r="A140" s="52" t="s">
        <v>581</v>
      </c>
    </row>
    <row r="141" spans="1:3" x14ac:dyDescent="0.2">
      <c r="A141" s="52" t="s">
        <v>582</v>
      </c>
      <c r="B141" s="55"/>
      <c r="C141" s="55"/>
    </row>
    <row r="142" spans="1:3" x14ac:dyDescent="0.2">
      <c r="A142" s="51" t="s">
        <v>583</v>
      </c>
    </row>
    <row r="146" spans="1:4" ht="25.5" x14ac:dyDescent="0.2">
      <c r="A146" s="64" t="s">
        <v>613</v>
      </c>
    </row>
    <row r="147" spans="1:4" x14ac:dyDescent="0.2">
      <c r="B147" s="68"/>
      <c r="C147" s="68"/>
    </row>
    <row r="149" spans="1:4" ht="25.5" x14ac:dyDescent="0.2">
      <c r="B149" s="173" t="s">
        <v>823</v>
      </c>
      <c r="C149" s="69"/>
      <c r="D149" s="69"/>
    </row>
    <row r="151" spans="1:4" x14ac:dyDescent="0.2">
      <c r="A151" s="56" t="s">
        <v>2153</v>
      </c>
      <c r="B151" s="79" t="e">
        <f>+ESF!#REF!</f>
        <v>#REF!</v>
      </c>
    </row>
    <row r="152" spans="1:4" ht="25.5" x14ac:dyDescent="0.2">
      <c r="A152" s="70" t="s">
        <v>615</v>
      </c>
      <c r="B152" s="78">
        <f>+ERI!D17</f>
        <v>15000000</v>
      </c>
    </row>
    <row r="153" spans="1:4" x14ac:dyDescent="0.2">
      <c r="A153" s="70" t="s">
        <v>304</v>
      </c>
      <c r="B153" s="172">
        <f>-'Flujos indirecto'!D33</f>
        <v>-15000000</v>
      </c>
    </row>
    <row r="154" spans="1:4" x14ac:dyDescent="0.2">
      <c r="A154" s="56" t="s">
        <v>2154</v>
      </c>
      <c r="B154" s="79" t="e">
        <f>SUM(B151:B153)</f>
        <v>#REF!</v>
      </c>
    </row>
    <row r="155" spans="1:4" ht="25.5" x14ac:dyDescent="0.2">
      <c r="A155" s="70" t="s">
        <v>615</v>
      </c>
      <c r="B155" s="78">
        <f>+ERI!C17</f>
        <v>22000000</v>
      </c>
    </row>
    <row r="156" spans="1:4" x14ac:dyDescent="0.2">
      <c r="A156" s="70" t="s">
        <v>304</v>
      </c>
      <c r="B156" s="172">
        <f>-'Flujos indirecto'!C33</f>
        <v>-22000000</v>
      </c>
    </row>
    <row r="157" spans="1:4" x14ac:dyDescent="0.2">
      <c r="A157" s="56" t="s">
        <v>2155</v>
      </c>
      <c r="B157" s="80" t="e">
        <f>SUM(B154:B156)</f>
        <v>#REF!</v>
      </c>
      <c r="C157" s="92" t="e">
        <f>+ESF!#REF!-B157</f>
        <v>#REF!</v>
      </c>
    </row>
    <row r="161" spans="1:3" ht="45.75" customHeight="1" x14ac:dyDescent="0.2">
      <c r="A161" s="1579" t="s">
        <v>617</v>
      </c>
      <c r="B161" s="1579"/>
      <c r="C161" s="1579"/>
    </row>
    <row r="162" spans="1:3" ht="25.5" x14ac:dyDescent="0.2">
      <c r="A162" s="56" t="s">
        <v>2154</v>
      </c>
      <c r="B162" s="69" t="s">
        <v>823</v>
      </c>
    </row>
    <row r="163" spans="1:3" x14ac:dyDescent="0.2">
      <c r="A163" s="52" t="s">
        <v>581</v>
      </c>
    </row>
    <row r="164" spans="1:3" x14ac:dyDescent="0.2">
      <c r="A164" s="52" t="s">
        <v>582</v>
      </c>
    </row>
    <row r="165" spans="1:3" x14ac:dyDescent="0.2">
      <c r="A165" s="52" t="s">
        <v>618</v>
      </c>
    </row>
    <row r="166" spans="1:3" x14ac:dyDescent="0.2">
      <c r="A166" s="52" t="s">
        <v>619</v>
      </c>
      <c r="B166" s="55"/>
    </row>
    <row r="167" spans="1:3" x14ac:dyDescent="0.2">
      <c r="A167" s="52" t="s">
        <v>19</v>
      </c>
    </row>
    <row r="168" spans="1:3" x14ac:dyDescent="0.2">
      <c r="A168" s="52" t="s">
        <v>620</v>
      </c>
      <c r="B168" s="55"/>
    </row>
    <row r="169" spans="1:3" x14ac:dyDescent="0.2">
      <c r="A169" s="52" t="s">
        <v>621</v>
      </c>
    </row>
    <row r="171" spans="1:3" x14ac:dyDescent="0.2">
      <c r="A171" s="52" t="s">
        <v>622</v>
      </c>
    </row>
    <row r="172" spans="1:3" x14ac:dyDescent="0.2">
      <c r="A172" s="52" t="s">
        <v>623</v>
      </c>
      <c r="B172" s="55"/>
    </row>
    <row r="173" spans="1:3" x14ac:dyDescent="0.2">
      <c r="A173" s="52" t="s">
        <v>452</v>
      </c>
      <c r="B173" s="71"/>
    </row>
    <row r="174" spans="1:3" x14ac:dyDescent="0.2">
      <c r="A174" s="52" t="s">
        <v>624</v>
      </c>
    </row>
    <row r="186" spans="1:6" x14ac:dyDescent="0.2">
      <c r="A186" s="64" t="s">
        <v>431</v>
      </c>
    </row>
    <row r="187" spans="1:6" ht="46.5" customHeight="1" x14ac:dyDescent="0.2">
      <c r="B187" s="69" t="s">
        <v>625</v>
      </c>
      <c r="C187" s="69" t="s">
        <v>824</v>
      </c>
      <c r="D187" s="69" t="s">
        <v>825</v>
      </c>
      <c r="E187" s="69" t="s">
        <v>57</v>
      </c>
    </row>
    <row r="188" spans="1:6" x14ac:dyDescent="0.2">
      <c r="A188" s="51" t="s">
        <v>81</v>
      </c>
    </row>
    <row r="189" spans="1:6" x14ac:dyDescent="0.2">
      <c r="A189" s="51" t="s">
        <v>2153</v>
      </c>
      <c r="B189" s="57"/>
      <c r="C189" s="57"/>
      <c r="D189" s="57"/>
      <c r="E189" s="57">
        <f>SUM(B189:D189)</f>
        <v>0</v>
      </c>
    </row>
    <row r="190" spans="1:6" x14ac:dyDescent="0.2">
      <c r="A190" s="52" t="s">
        <v>626</v>
      </c>
      <c r="E190" s="54">
        <f>SUM(B190:D190)</f>
        <v>0</v>
      </c>
      <c r="F190" s="52" t="s">
        <v>627</v>
      </c>
    </row>
    <row r="191" spans="1:6" x14ac:dyDescent="0.2">
      <c r="A191" s="52" t="s">
        <v>604</v>
      </c>
      <c r="E191" s="54">
        <f>SUM(B191:D191)</f>
        <v>0</v>
      </c>
    </row>
    <row r="192" spans="1:6" x14ac:dyDescent="0.2">
      <c r="A192" s="52" t="s">
        <v>628</v>
      </c>
      <c r="E192" s="54">
        <f>SUM(B192:D192)</f>
        <v>0</v>
      </c>
      <c r="F192" s="52" t="s">
        <v>629</v>
      </c>
    </row>
    <row r="193" spans="1:6" x14ac:dyDescent="0.2">
      <c r="A193" s="51" t="s">
        <v>2154</v>
      </c>
      <c r="B193" s="81">
        <f>SUM(B189:B192)</f>
        <v>0</v>
      </c>
      <c r="C193" s="81">
        <f>SUM(C189:C192)</f>
        <v>0</v>
      </c>
      <c r="D193" s="81">
        <f>SUM(D189:D192)</f>
        <v>0</v>
      </c>
      <c r="E193" s="81">
        <f>SUM(E189:E192)</f>
        <v>0</v>
      </c>
    </row>
    <row r="194" spans="1:6" x14ac:dyDescent="0.2">
      <c r="A194" s="52" t="s">
        <v>626</v>
      </c>
      <c r="B194" s="54"/>
      <c r="E194" s="54">
        <f>SUM(B194:D194)</f>
        <v>0</v>
      </c>
    </row>
    <row r="195" spans="1:6" x14ac:dyDescent="0.2">
      <c r="A195" s="52" t="s">
        <v>628</v>
      </c>
      <c r="D195" s="54"/>
      <c r="E195" s="54">
        <f>SUM(B195:D195)</f>
        <v>0</v>
      </c>
    </row>
    <row r="196" spans="1:6" x14ac:dyDescent="0.2">
      <c r="A196" s="51" t="s">
        <v>2155</v>
      </c>
      <c r="B196" s="81">
        <f>SUM(B193:B195)</f>
        <v>0</v>
      </c>
      <c r="C196" s="81">
        <f>SUM(C193:C195)</f>
        <v>0</v>
      </c>
      <c r="D196" s="81">
        <f>SUM(D193:D195)</f>
        <v>0</v>
      </c>
      <c r="E196" s="81">
        <f>SUM(E193:E195)</f>
        <v>0</v>
      </c>
    </row>
    <row r="198" spans="1:6" x14ac:dyDescent="0.2">
      <c r="A198" s="51" t="s">
        <v>630</v>
      </c>
    </row>
    <row r="199" spans="1:6" x14ac:dyDescent="0.2">
      <c r="A199" s="51" t="s">
        <v>2153</v>
      </c>
    </row>
    <row r="200" spans="1:6" x14ac:dyDescent="0.2">
      <c r="A200" s="52" t="s">
        <v>631</v>
      </c>
      <c r="B200" s="54"/>
      <c r="C200" s="54"/>
      <c r="D200" s="54"/>
      <c r="E200" s="54">
        <f>SUM(B200:D200)</f>
        <v>0</v>
      </c>
    </row>
    <row r="201" spans="1:6" x14ac:dyDescent="0.2">
      <c r="A201" s="52" t="s">
        <v>578</v>
      </c>
      <c r="F201" s="52" t="s">
        <v>632</v>
      </c>
    </row>
    <row r="202" spans="1:6" x14ac:dyDescent="0.2">
      <c r="A202" s="52" t="s">
        <v>628</v>
      </c>
    </row>
    <row r="203" spans="1:6" x14ac:dyDescent="0.2">
      <c r="A203" s="51" t="s">
        <v>2154</v>
      </c>
      <c r="B203" s="81">
        <f>SUM(B200:B202)</f>
        <v>0</v>
      </c>
      <c r="C203" s="81">
        <f>SUM(C200:C202)</f>
        <v>0</v>
      </c>
      <c r="D203" s="81">
        <f>SUM(D200:D202)</f>
        <v>0</v>
      </c>
      <c r="E203" s="81">
        <f>SUM(E200:E202)</f>
        <v>0</v>
      </c>
    </row>
    <row r="204" spans="1:6" x14ac:dyDescent="0.2">
      <c r="A204" s="52" t="s">
        <v>631</v>
      </c>
      <c r="B204" s="54"/>
      <c r="C204" s="54"/>
      <c r="D204" s="54"/>
      <c r="E204" s="57">
        <f>SUM(B204:D204)</f>
        <v>0</v>
      </c>
    </row>
    <row r="205" spans="1:6" x14ac:dyDescent="0.2">
      <c r="A205" s="52" t="s">
        <v>628</v>
      </c>
      <c r="B205" s="57"/>
      <c r="C205" s="57"/>
      <c r="D205" s="54"/>
      <c r="E205" s="54">
        <f>SUM(B205:D205)</f>
        <v>0</v>
      </c>
    </row>
    <row r="206" spans="1:6" x14ac:dyDescent="0.2">
      <c r="A206" s="51" t="s">
        <v>2155</v>
      </c>
      <c r="B206" s="57">
        <f>SUM(B203:B205)</f>
        <v>0</v>
      </c>
      <c r="C206" s="57">
        <f>SUM(C203:C205)</f>
        <v>0</v>
      </c>
      <c r="D206" s="57">
        <f>SUM(D203:D205)</f>
        <v>0</v>
      </c>
      <c r="E206" s="57">
        <f>SUM(E203:E205)</f>
        <v>0</v>
      </c>
    </row>
    <row r="208" spans="1:6" x14ac:dyDescent="0.2">
      <c r="A208" s="51" t="s">
        <v>633</v>
      </c>
    </row>
    <row r="209" spans="1:5" ht="13.5" thickBot="1" x14ac:dyDescent="0.25">
      <c r="A209" s="51" t="s">
        <v>2154</v>
      </c>
      <c r="B209" s="72"/>
      <c r="C209" s="72"/>
      <c r="D209" s="72"/>
      <c r="E209" s="72"/>
    </row>
    <row r="210" spans="1:5" ht="14.25" thickTop="1" thickBot="1" x14ac:dyDescent="0.25">
      <c r="A210" s="51" t="s">
        <v>2155</v>
      </c>
      <c r="B210" s="72"/>
      <c r="C210" s="72"/>
      <c r="D210" s="72"/>
      <c r="E210" s="72"/>
    </row>
    <row r="211" spans="1:5" ht="13.5" thickTop="1" x14ac:dyDescent="0.2"/>
    <row r="218" spans="1:5" x14ac:dyDescent="0.2">
      <c r="A218" s="64" t="s">
        <v>432</v>
      </c>
      <c r="B218" s="1578" t="s">
        <v>426</v>
      </c>
      <c r="C218" s="1578"/>
    </row>
    <row r="219" spans="1:5" x14ac:dyDescent="0.2">
      <c r="B219" s="53" t="str">
        <f>+B138</f>
        <v>20x3</v>
      </c>
      <c r="C219" s="53" t="str">
        <f>+C138</f>
        <v>20x2</v>
      </c>
    </row>
    <row r="220" spans="1:5" x14ac:dyDescent="0.2">
      <c r="A220" s="52" t="s">
        <v>289</v>
      </c>
    </row>
    <row r="221" spans="1:5" x14ac:dyDescent="0.2">
      <c r="A221" s="52" t="s">
        <v>626</v>
      </c>
    </row>
    <row r="222" spans="1:5" x14ac:dyDescent="0.2">
      <c r="A222" s="52" t="s">
        <v>634</v>
      </c>
    </row>
    <row r="223" spans="1:5" x14ac:dyDescent="0.2">
      <c r="A223" s="52" t="s">
        <v>616</v>
      </c>
    </row>
    <row r="224" spans="1:5" x14ac:dyDescent="0.2">
      <c r="A224" s="52" t="s">
        <v>603</v>
      </c>
      <c r="B224" s="55"/>
      <c r="C224" s="55"/>
    </row>
    <row r="225" spans="1:3" x14ac:dyDescent="0.2">
      <c r="A225" s="51" t="s">
        <v>177</v>
      </c>
    </row>
    <row r="231" spans="1:3" x14ac:dyDescent="0.2">
      <c r="A231" s="64" t="s">
        <v>429</v>
      </c>
      <c r="B231" s="1578" t="s">
        <v>426</v>
      </c>
      <c r="C231" s="1578"/>
    </row>
    <row r="232" spans="1:3" x14ac:dyDescent="0.2">
      <c r="A232" s="64"/>
      <c r="B232" s="53" t="str">
        <f>+B219</f>
        <v>20x3</v>
      </c>
      <c r="C232" s="53" t="str">
        <f>+C219</f>
        <v>20x2</v>
      </c>
    </row>
    <row r="233" spans="1:3" x14ac:dyDescent="0.2">
      <c r="A233" s="65" t="s">
        <v>253</v>
      </c>
    </row>
    <row r="234" spans="1:3" ht="25.5" x14ac:dyDescent="0.2">
      <c r="A234" s="65" t="s">
        <v>635</v>
      </c>
    </row>
    <row r="235" spans="1:3" x14ac:dyDescent="0.2">
      <c r="A235" s="65" t="s">
        <v>636</v>
      </c>
    </row>
    <row r="236" spans="1:3" x14ac:dyDescent="0.2">
      <c r="A236" s="65" t="s">
        <v>637</v>
      </c>
      <c r="B236" s="55"/>
      <c r="C236" s="55"/>
    </row>
    <row r="237" spans="1:3" x14ac:dyDescent="0.2">
      <c r="A237" s="64" t="s">
        <v>638</v>
      </c>
      <c r="B237" s="51"/>
      <c r="C237" s="51"/>
    </row>
    <row r="238" spans="1:3" x14ac:dyDescent="0.2">
      <c r="A238" s="65"/>
    </row>
    <row r="239" spans="1:3" x14ac:dyDescent="0.2">
      <c r="A239" s="65"/>
      <c r="B239" s="1578" t="s">
        <v>426</v>
      </c>
      <c r="C239" s="1578"/>
    </row>
    <row r="240" spans="1:3" x14ac:dyDescent="0.2">
      <c r="B240" s="53" t="str">
        <f>+B232</f>
        <v>20x3</v>
      </c>
      <c r="C240" s="53" t="str">
        <f>+C232</f>
        <v>20x2</v>
      </c>
    </row>
    <row r="241" spans="1:3" x14ac:dyDescent="0.2">
      <c r="A241" s="52" t="s">
        <v>580</v>
      </c>
    </row>
    <row r="242" spans="1:3" x14ac:dyDescent="0.2">
      <c r="A242" s="52" t="s">
        <v>581</v>
      </c>
    </row>
    <row r="243" spans="1:3" x14ac:dyDescent="0.2">
      <c r="A243" s="52" t="s">
        <v>582</v>
      </c>
      <c r="B243" s="55"/>
      <c r="C243" s="55"/>
    </row>
    <row r="244" spans="1:3" x14ac:dyDescent="0.2">
      <c r="A244" s="51" t="s">
        <v>583</v>
      </c>
    </row>
    <row r="245" spans="1:3" x14ac:dyDescent="0.2">
      <c r="A245" s="65"/>
    </row>
    <row r="249" spans="1:3" x14ac:dyDescent="0.2">
      <c r="A249" s="64" t="s">
        <v>639</v>
      </c>
    </row>
    <row r="251" spans="1:3" x14ac:dyDescent="0.2">
      <c r="B251" s="1578" t="s">
        <v>426</v>
      </c>
      <c r="C251" s="1578"/>
    </row>
    <row r="252" spans="1:3" x14ac:dyDescent="0.2">
      <c r="A252" s="64"/>
      <c r="B252" s="53" t="str">
        <f>+B240</f>
        <v>20x3</v>
      </c>
      <c r="C252" s="53" t="str">
        <f>+C240</f>
        <v>20x2</v>
      </c>
    </row>
    <row r="253" spans="1:3" x14ac:dyDescent="0.2">
      <c r="A253" s="65" t="s">
        <v>640</v>
      </c>
    </row>
    <row r="254" spans="1:3" x14ac:dyDescent="0.2">
      <c r="A254" s="65" t="s">
        <v>641</v>
      </c>
      <c r="B254" s="55"/>
      <c r="C254" s="55"/>
    </row>
    <row r="255" spans="1:3" x14ac:dyDescent="0.2">
      <c r="A255" s="64" t="s">
        <v>642</v>
      </c>
      <c r="B255" s="51"/>
      <c r="C255" s="51"/>
    </row>
    <row r="260" spans="1:3" x14ac:dyDescent="0.2">
      <c r="A260" s="64" t="s">
        <v>439</v>
      </c>
      <c r="B260" s="1578" t="s">
        <v>426</v>
      </c>
      <c r="C260" s="1578"/>
    </row>
    <row r="261" spans="1:3" x14ac:dyDescent="0.2">
      <c r="B261" s="53" t="str">
        <f>+B252</f>
        <v>20x3</v>
      </c>
      <c r="C261" s="53" t="str">
        <f>+C252</f>
        <v>20x2</v>
      </c>
    </row>
    <row r="262" spans="1:3" x14ac:dyDescent="0.2">
      <c r="A262" s="52" t="s">
        <v>561</v>
      </c>
    </row>
    <row r="263" spans="1:3" x14ac:dyDescent="0.2">
      <c r="A263" s="70" t="s">
        <v>643</v>
      </c>
    </row>
    <row r="264" spans="1:3" x14ac:dyDescent="0.2">
      <c r="A264" s="52" t="s">
        <v>644</v>
      </c>
    </row>
    <row r="265" spans="1:3" x14ac:dyDescent="0.2">
      <c r="A265" s="51" t="s">
        <v>645</v>
      </c>
      <c r="B265" s="51"/>
      <c r="C265" s="51"/>
    </row>
    <row r="267" spans="1:3" x14ac:dyDescent="0.2">
      <c r="B267" s="1578" t="s">
        <v>426</v>
      </c>
      <c r="C267" s="1578"/>
    </row>
    <row r="268" spans="1:3" x14ac:dyDescent="0.2">
      <c r="B268" s="53" t="str">
        <f>+B261</f>
        <v>20x3</v>
      </c>
      <c r="C268" s="53" t="str">
        <f>+C261</f>
        <v>20x2</v>
      </c>
    </row>
    <row r="269" spans="1:3" x14ac:dyDescent="0.2">
      <c r="A269" s="52" t="s">
        <v>646</v>
      </c>
    </row>
    <row r="270" spans="1:3" x14ac:dyDescent="0.2">
      <c r="A270" s="52" t="s">
        <v>618</v>
      </c>
    </row>
    <row r="271" spans="1:3" x14ac:dyDescent="0.2">
      <c r="A271" s="52" t="s">
        <v>619</v>
      </c>
      <c r="B271" s="55"/>
      <c r="C271" s="55"/>
    </row>
    <row r="272" spans="1:3" x14ac:dyDescent="0.2">
      <c r="A272" s="51" t="s">
        <v>583</v>
      </c>
    </row>
    <row r="273" spans="1:4" x14ac:dyDescent="0.2">
      <c r="A273" s="51"/>
    </row>
    <row r="274" spans="1:4" x14ac:dyDescent="0.2">
      <c r="A274" s="51"/>
    </row>
    <row r="275" spans="1:4" x14ac:dyDescent="0.2">
      <c r="A275" s="52" t="s">
        <v>647</v>
      </c>
    </row>
    <row r="276" spans="1:4" x14ac:dyDescent="0.2">
      <c r="A276" s="52" t="s">
        <v>648</v>
      </c>
    </row>
    <row r="277" spans="1:4" x14ac:dyDescent="0.2">
      <c r="A277" s="52" t="s">
        <v>649</v>
      </c>
    </row>
    <row r="278" spans="1:4" x14ac:dyDescent="0.2">
      <c r="A278" s="52" t="s">
        <v>650</v>
      </c>
      <c r="B278" s="52" t="s">
        <v>984</v>
      </c>
    </row>
    <row r="282" spans="1:4" ht="25.5" x14ac:dyDescent="0.2">
      <c r="A282" s="64" t="s">
        <v>651</v>
      </c>
      <c r="B282" s="1578" t="s">
        <v>426</v>
      </c>
      <c r="C282" s="1578"/>
    </row>
    <row r="283" spans="1:4" x14ac:dyDescent="0.2">
      <c r="B283" s="53" t="str">
        <f>+B268</f>
        <v>20x3</v>
      </c>
      <c r="C283" s="53" t="str">
        <f>+C268</f>
        <v>20x2</v>
      </c>
    </row>
    <row r="284" spans="1:4" x14ac:dyDescent="0.2">
      <c r="A284" s="52" t="s">
        <v>652</v>
      </c>
      <c r="D284" s="52" t="s">
        <v>985</v>
      </c>
    </row>
    <row r="285" spans="1:4" x14ac:dyDescent="0.2">
      <c r="A285" s="52" t="s">
        <v>653</v>
      </c>
    </row>
    <row r="286" spans="1:4" x14ac:dyDescent="0.2">
      <c r="A286" s="52" t="s">
        <v>654</v>
      </c>
    </row>
    <row r="287" spans="1:4" x14ac:dyDescent="0.2">
      <c r="A287" s="52" t="s">
        <v>655</v>
      </c>
    </row>
    <row r="288" spans="1:4" x14ac:dyDescent="0.2">
      <c r="A288" s="52" t="s">
        <v>656</v>
      </c>
    </row>
    <row r="289" spans="1:3" x14ac:dyDescent="0.2">
      <c r="A289" s="52" t="s">
        <v>657</v>
      </c>
    </row>
    <row r="290" spans="1:3" x14ac:dyDescent="0.2">
      <c r="A290" s="52" t="s">
        <v>658</v>
      </c>
      <c r="B290" s="55"/>
      <c r="C290" s="55"/>
    </row>
    <row r="291" spans="1:3" ht="25.5" x14ac:dyDescent="0.2">
      <c r="A291" s="64" t="s">
        <v>659</v>
      </c>
    </row>
    <row r="293" spans="1:3" x14ac:dyDescent="0.2">
      <c r="B293" s="1578" t="s">
        <v>426</v>
      </c>
      <c r="C293" s="1578"/>
    </row>
    <row r="294" spans="1:3" x14ac:dyDescent="0.2">
      <c r="B294" s="53" t="str">
        <f>+B283</f>
        <v>20x3</v>
      </c>
      <c r="C294" s="53" t="str">
        <f>+C283</f>
        <v>20x2</v>
      </c>
    </row>
    <row r="295" spans="1:3" x14ac:dyDescent="0.2">
      <c r="A295" s="52" t="s">
        <v>646</v>
      </c>
    </row>
    <row r="296" spans="1:3" x14ac:dyDescent="0.2">
      <c r="A296" s="52" t="s">
        <v>618</v>
      </c>
    </row>
    <row r="297" spans="1:3" x14ac:dyDescent="0.2">
      <c r="A297" s="52" t="s">
        <v>619</v>
      </c>
      <c r="B297" s="55"/>
      <c r="C297" s="55"/>
    </row>
    <row r="298" spans="1:3" x14ac:dyDescent="0.2">
      <c r="A298" s="51" t="s">
        <v>583</v>
      </c>
    </row>
    <row r="302" spans="1:3" x14ac:dyDescent="0.2">
      <c r="A302" s="64" t="s">
        <v>660</v>
      </c>
      <c r="B302" s="1578" t="s">
        <v>426</v>
      </c>
      <c r="C302" s="1578"/>
    </row>
    <row r="303" spans="1:3" x14ac:dyDescent="0.2">
      <c r="B303" s="53" t="str">
        <f>+B294</f>
        <v>20x3</v>
      </c>
      <c r="C303" s="53" t="str">
        <f>+C294</f>
        <v>20x2</v>
      </c>
    </row>
    <row r="304" spans="1:3" x14ac:dyDescent="0.2">
      <c r="A304" s="52" t="s">
        <v>661</v>
      </c>
      <c r="B304" s="68"/>
      <c r="C304" s="68"/>
    </row>
    <row r="305" spans="1:3" x14ac:dyDescent="0.2">
      <c r="A305" s="52" t="s">
        <v>662</v>
      </c>
      <c r="B305" s="68"/>
      <c r="C305" s="68"/>
    </row>
    <row r="306" spans="1:3" x14ac:dyDescent="0.2">
      <c r="A306" s="52" t="s">
        <v>663</v>
      </c>
      <c r="B306" s="68"/>
      <c r="C306" s="68"/>
    </row>
    <row r="307" spans="1:3" x14ac:dyDescent="0.2">
      <c r="A307" s="52" t="s">
        <v>664</v>
      </c>
      <c r="B307" s="68"/>
      <c r="C307" s="68"/>
    </row>
    <row r="308" spans="1:3" x14ac:dyDescent="0.2">
      <c r="A308" s="52" t="s">
        <v>665</v>
      </c>
      <c r="B308" s="68"/>
      <c r="C308" s="68"/>
    </row>
    <row r="309" spans="1:3" ht="25.5" x14ac:dyDescent="0.2">
      <c r="A309" s="65" t="s">
        <v>666</v>
      </c>
      <c r="B309" s="68"/>
      <c r="C309" s="68"/>
    </row>
    <row r="310" spans="1:3" x14ac:dyDescent="0.2">
      <c r="A310" s="52" t="s">
        <v>667</v>
      </c>
      <c r="B310" s="73"/>
      <c r="C310" s="73"/>
    </row>
    <row r="311" spans="1:3" x14ac:dyDescent="0.2">
      <c r="A311" s="51" t="s">
        <v>668</v>
      </c>
      <c r="B311" s="68"/>
      <c r="C311" s="68"/>
    </row>
    <row r="312" spans="1:3" x14ac:dyDescent="0.2">
      <c r="B312" s="68"/>
      <c r="C312" s="68"/>
    </row>
    <row r="313" spans="1:3" x14ac:dyDescent="0.2">
      <c r="B313" s="1578" t="s">
        <v>426</v>
      </c>
      <c r="C313" s="1578"/>
    </row>
    <row r="314" spans="1:3" x14ac:dyDescent="0.2">
      <c r="B314" s="53" t="str">
        <f>+B303</f>
        <v>20x3</v>
      </c>
      <c r="C314" s="53" t="str">
        <f>+C303</f>
        <v>20x2</v>
      </c>
    </row>
    <row r="315" spans="1:3" x14ac:dyDescent="0.2">
      <c r="A315" s="52" t="s">
        <v>646</v>
      </c>
    </row>
    <row r="316" spans="1:3" x14ac:dyDescent="0.2">
      <c r="A316" s="52" t="s">
        <v>618</v>
      </c>
    </row>
    <row r="317" spans="1:3" x14ac:dyDescent="0.2">
      <c r="A317" s="52" t="s">
        <v>619</v>
      </c>
      <c r="B317" s="55"/>
      <c r="C317" s="55"/>
    </row>
    <row r="318" spans="1:3" x14ac:dyDescent="0.2">
      <c r="A318" s="51" t="s">
        <v>583</v>
      </c>
    </row>
    <row r="319" spans="1:3" x14ac:dyDescent="0.2">
      <c r="B319" s="68"/>
      <c r="C319" s="68"/>
    </row>
    <row r="320" spans="1:3" x14ac:dyDescent="0.2">
      <c r="B320" s="1578" t="s">
        <v>426</v>
      </c>
      <c r="C320" s="1578"/>
    </row>
    <row r="321" spans="1:3" x14ac:dyDescent="0.2">
      <c r="B321" s="53" t="str">
        <f>+B314</f>
        <v>20x3</v>
      </c>
      <c r="C321" s="53" t="str">
        <f>+C314</f>
        <v>20x2</v>
      </c>
    </row>
    <row r="322" spans="1:3" x14ac:dyDescent="0.2">
      <c r="A322" s="52" t="s">
        <v>289</v>
      </c>
    </row>
    <row r="323" spans="1:3" x14ac:dyDescent="0.2">
      <c r="A323" s="52" t="s">
        <v>669</v>
      </c>
    </row>
    <row r="324" spans="1:3" ht="25.5" x14ac:dyDescent="0.2">
      <c r="A324" s="65" t="s">
        <v>670</v>
      </c>
    </row>
    <row r="325" spans="1:3" x14ac:dyDescent="0.2">
      <c r="A325" s="52" t="s">
        <v>671</v>
      </c>
    </row>
    <row r="326" spans="1:3" x14ac:dyDescent="0.2">
      <c r="A326" s="52" t="s">
        <v>672</v>
      </c>
      <c r="B326" s="55"/>
      <c r="C326" s="55"/>
    </row>
    <row r="327" spans="1:3" x14ac:dyDescent="0.2">
      <c r="A327" s="51" t="s">
        <v>177</v>
      </c>
    </row>
    <row r="330" spans="1:3" x14ac:dyDescent="0.2">
      <c r="A330" s="51" t="s">
        <v>643</v>
      </c>
    </row>
    <row r="331" spans="1:3" x14ac:dyDescent="0.2">
      <c r="A331" s="51"/>
    </row>
    <row r="332" spans="1:3" ht="25.5" x14ac:dyDescent="0.2">
      <c r="A332" s="70" t="s">
        <v>673</v>
      </c>
      <c r="B332" s="1578" t="s">
        <v>426</v>
      </c>
      <c r="C332" s="1578"/>
    </row>
    <row r="333" spans="1:3" x14ac:dyDescent="0.2">
      <c r="A333" s="51"/>
      <c r="B333" s="53" t="str">
        <f>+B321</f>
        <v>20x3</v>
      </c>
      <c r="C333" s="53" t="str">
        <f>+C321</f>
        <v>20x2</v>
      </c>
    </row>
    <row r="334" spans="1:3" x14ac:dyDescent="0.2">
      <c r="A334" s="52" t="s">
        <v>16</v>
      </c>
    </row>
    <row r="335" spans="1:3" x14ac:dyDescent="0.2">
      <c r="A335" s="52" t="s">
        <v>59</v>
      </c>
    </row>
    <row r="336" spans="1:3" x14ac:dyDescent="0.2">
      <c r="A336" s="52" t="s">
        <v>13</v>
      </c>
      <c r="B336" s="55"/>
      <c r="C336" s="55"/>
    </row>
    <row r="337" spans="1:3" ht="25.5" x14ac:dyDescent="0.2">
      <c r="A337" s="64" t="s">
        <v>674</v>
      </c>
    </row>
    <row r="338" spans="1:3" x14ac:dyDescent="0.2">
      <c r="A338" s="51"/>
    </row>
    <row r="339" spans="1:3" x14ac:dyDescent="0.2">
      <c r="A339" s="51"/>
    </row>
    <row r="340" spans="1:3" x14ac:dyDescent="0.2">
      <c r="A340" s="52" t="s">
        <v>675</v>
      </c>
      <c r="B340" s="1578" t="s">
        <v>426</v>
      </c>
      <c r="C340" s="1578"/>
    </row>
    <row r="341" spans="1:3" x14ac:dyDescent="0.2">
      <c r="B341" s="53" t="str">
        <f>+B333</f>
        <v>20x3</v>
      </c>
      <c r="C341" s="53" t="str">
        <f>+C333</f>
        <v>20x2</v>
      </c>
    </row>
    <row r="342" spans="1:3" x14ac:dyDescent="0.2">
      <c r="A342" s="52" t="s">
        <v>676</v>
      </c>
    </row>
    <row r="343" spans="1:3" x14ac:dyDescent="0.2">
      <c r="A343" s="52" t="s">
        <v>677</v>
      </c>
    </row>
    <row r="344" spans="1:3" x14ac:dyDescent="0.2">
      <c r="A344" s="52" t="s">
        <v>678</v>
      </c>
      <c r="B344" s="55"/>
      <c r="C344" s="55"/>
    </row>
    <row r="345" spans="1:3" x14ac:dyDescent="0.2">
      <c r="A345" s="51" t="s">
        <v>583</v>
      </c>
    </row>
    <row r="346" spans="1:3" x14ac:dyDescent="0.2">
      <c r="B346" s="1578" t="s">
        <v>426</v>
      </c>
      <c r="C346" s="1578"/>
    </row>
    <row r="347" spans="1:3" x14ac:dyDescent="0.2">
      <c r="B347" s="53" t="str">
        <f>+B341</f>
        <v>20x3</v>
      </c>
      <c r="C347" s="53" t="str">
        <f>+C341</f>
        <v>20x2</v>
      </c>
    </row>
    <row r="348" spans="1:3" x14ac:dyDescent="0.2">
      <c r="A348" s="52" t="s">
        <v>646</v>
      </c>
    </row>
    <row r="349" spans="1:3" x14ac:dyDescent="0.2">
      <c r="A349" s="52" t="s">
        <v>618</v>
      </c>
    </row>
    <row r="350" spans="1:3" x14ac:dyDescent="0.2">
      <c r="A350" s="52" t="s">
        <v>619</v>
      </c>
      <c r="B350" s="55"/>
      <c r="C350" s="55"/>
    </row>
    <row r="351" spans="1:3" x14ac:dyDescent="0.2">
      <c r="A351" s="51" t="s">
        <v>583</v>
      </c>
    </row>
    <row r="356" spans="1:3" x14ac:dyDescent="0.2">
      <c r="A356" s="51" t="s">
        <v>679</v>
      </c>
      <c r="B356" s="1578" t="s">
        <v>426</v>
      </c>
      <c r="C356" s="1578"/>
    </row>
    <row r="357" spans="1:3" x14ac:dyDescent="0.2">
      <c r="B357" s="53" t="str">
        <f>+B347</f>
        <v>20x3</v>
      </c>
      <c r="C357" s="53" t="str">
        <f>+C347</f>
        <v>20x2</v>
      </c>
    </row>
    <row r="358" spans="1:3" ht="35.25" customHeight="1" x14ac:dyDescent="0.2">
      <c r="A358" s="65" t="s">
        <v>680</v>
      </c>
      <c r="B358" s="74"/>
      <c r="C358" s="74"/>
    </row>
    <row r="359" spans="1:3" ht="39.75" customHeight="1" x14ac:dyDescent="0.2"/>
    <row r="360" spans="1:3" ht="45" customHeight="1" x14ac:dyDescent="0.2">
      <c r="A360" s="1579" t="s">
        <v>681</v>
      </c>
      <c r="B360" s="1579"/>
      <c r="C360" s="1579"/>
    </row>
    <row r="361" spans="1:3" x14ac:dyDescent="0.2">
      <c r="A361" s="65"/>
    </row>
    <row r="362" spans="1:3" ht="25.5" x14ac:dyDescent="0.2">
      <c r="A362" s="65" t="s">
        <v>682</v>
      </c>
      <c r="B362" s="1578" t="s">
        <v>426</v>
      </c>
      <c r="C362" s="1578"/>
    </row>
    <row r="363" spans="1:3" x14ac:dyDescent="0.2">
      <c r="B363" s="53" t="str">
        <f>+B357</f>
        <v>20x3</v>
      </c>
      <c r="C363" s="53" t="str">
        <f>+C357</f>
        <v>20x2</v>
      </c>
    </row>
    <row r="364" spans="1:3" x14ac:dyDescent="0.2">
      <c r="A364" s="52" t="s">
        <v>676</v>
      </c>
    </row>
    <row r="365" spans="1:3" x14ac:dyDescent="0.2">
      <c r="A365" s="52" t="s">
        <v>677</v>
      </c>
    </row>
    <row r="366" spans="1:3" x14ac:dyDescent="0.2">
      <c r="A366" s="52" t="s">
        <v>678</v>
      </c>
      <c r="B366" s="55"/>
      <c r="C366" s="55"/>
    </row>
    <row r="367" spans="1:3" x14ac:dyDescent="0.2">
      <c r="A367" s="51" t="s">
        <v>583</v>
      </c>
    </row>
    <row r="374" spans="1:3" x14ac:dyDescent="0.2">
      <c r="A374" s="51" t="s">
        <v>683</v>
      </c>
    </row>
    <row r="375" spans="1:3" x14ac:dyDescent="0.2">
      <c r="A375" s="51"/>
    </row>
    <row r="376" spans="1:3" x14ac:dyDescent="0.2">
      <c r="A376" s="51"/>
    </row>
    <row r="377" spans="1:3" x14ac:dyDescent="0.2">
      <c r="A377" s="51"/>
    </row>
    <row r="378" spans="1:3" x14ac:dyDescent="0.2">
      <c r="A378" s="52" t="s">
        <v>684</v>
      </c>
      <c r="B378" s="1578" t="s">
        <v>426</v>
      </c>
      <c r="C378" s="1578"/>
    </row>
    <row r="379" spans="1:3" x14ac:dyDescent="0.2">
      <c r="B379" s="53" t="str">
        <f>+B363</f>
        <v>20x3</v>
      </c>
      <c r="C379" s="53" t="str">
        <f>+C363</f>
        <v>20x2</v>
      </c>
    </row>
    <row r="380" spans="1:3" x14ac:dyDescent="0.2">
      <c r="A380" s="52" t="s">
        <v>676</v>
      </c>
    </row>
    <row r="381" spans="1:3" x14ac:dyDescent="0.2">
      <c r="A381" s="52" t="s">
        <v>677</v>
      </c>
    </row>
    <row r="382" spans="1:3" x14ac:dyDescent="0.2">
      <c r="A382" s="52" t="s">
        <v>678</v>
      </c>
      <c r="B382" s="55"/>
      <c r="C382" s="55"/>
    </row>
    <row r="383" spans="1:3" x14ac:dyDescent="0.2">
      <c r="A383" s="51" t="s">
        <v>583</v>
      </c>
    </row>
    <row r="384" spans="1:3" x14ac:dyDescent="0.2">
      <c r="A384" s="51"/>
    </row>
    <row r="385" spans="1:3" x14ac:dyDescent="0.2">
      <c r="A385" s="51"/>
      <c r="B385" s="1578" t="s">
        <v>426</v>
      </c>
      <c r="C385" s="1578"/>
    </row>
    <row r="386" spans="1:3" x14ac:dyDescent="0.2">
      <c r="B386" s="53" t="str">
        <f>+B379</f>
        <v>20x3</v>
      </c>
      <c r="C386" s="53" t="str">
        <f>+C379</f>
        <v>20x2</v>
      </c>
    </row>
    <row r="387" spans="1:3" x14ac:dyDescent="0.2">
      <c r="A387" s="52" t="s">
        <v>580</v>
      </c>
    </row>
    <row r="388" spans="1:3" x14ac:dyDescent="0.2">
      <c r="A388" s="52" t="s">
        <v>581</v>
      </c>
    </row>
    <row r="389" spans="1:3" x14ac:dyDescent="0.2">
      <c r="A389" s="52" t="s">
        <v>582</v>
      </c>
      <c r="B389" s="55"/>
      <c r="C389" s="55"/>
    </row>
    <row r="390" spans="1:3" x14ac:dyDescent="0.2">
      <c r="A390" s="51" t="s">
        <v>583</v>
      </c>
    </row>
    <row r="391" spans="1:3" x14ac:dyDescent="0.2">
      <c r="A391" s="51"/>
      <c r="B391" s="1578" t="s">
        <v>426</v>
      </c>
      <c r="C391" s="1578"/>
    </row>
    <row r="392" spans="1:3" x14ac:dyDescent="0.2">
      <c r="B392" s="53" t="str">
        <f>+B386</f>
        <v>20x3</v>
      </c>
      <c r="C392" s="53" t="str">
        <f>+C386</f>
        <v>20x2</v>
      </c>
    </row>
    <row r="393" spans="1:3" x14ac:dyDescent="0.2">
      <c r="A393" s="52" t="s">
        <v>685</v>
      </c>
    </row>
    <row r="394" spans="1:3" ht="51" x14ac:dyDescent="0.2">
      <c r="A394" s="65" t="s">
        <v>686</v>
      </c>
    </row>
    <row r="395" spans="1:3" ht="38.25" x14ac:dyDescent="0.2">
      <c r="A395" s="65" t="s">
        <v>687</v>
      </c>
    </row>
    <row r="396" spans="1:3" ht="25.5" x14ac:dyDescent="0.2">
      <c r="A396" s="65" t="s">
        <v>688</v>
      </c>
    </row>
    <row r="397" spans="1:3" x14ac:dyDescent="0.2">
      <c r="A397" s="65"/>
    </row>
    <row r="398" spans="1:3" x14ac:dyDescent="0.2">
      <c r="A398" s="65"/>
    </row>
    <row r="402" spans="1:3" ht="25.5" x14ac:dyDescent="0.2">
      <c r="A402" s="64" t="s">
        <v>689</v>
      </c>
      <c r="B402" s="1578" t="s">
        <v>426</v>
      </c>
      <c r="C402" s="1578"/>
    </row>
    <row r="403" spans="1:3" x14ac:dyDescent="0.2">
      <c r="B403" s="53" t="str">
        <f>+B392</f>
        <v>20x3</v>
      </c>
      <c r="C403" s="53" t="str">
        <f>+C392</f>
        <v>20x2</v>
      </c>
    </row>
    <row r="404" spans="1:3" ht="38.25" x14ac:dyDescent="0.2">
      <c r="A404" s="65" t="s">
        <v>690</v>
      </c>
      <c r="B404" s="74"/>
      <c r="C404" s="74"/>
    </row>
    <row r="406" spans="1:3" x14ac:dyDescent="0.2">
      <c r="A406" s="1579" t="s">
        <v>681</v>
      </c>
      <c r="B406" s="1579"/>
      <c r="C406" s="1579"/>
    </row>
    <row r="407" spans="1:3" x14ac:dyDescent="0.2">
      <c r="A407" s="65"/>
    </row>
    <row r="408" spans="1:3" ht="25.5" x14ac:dyDescent="0.2">
      <c r="A408" s="65" t="s">
        <v>691</v>
      </c>
      <c r="B408" s="1578" t="s">
        <v>426</v>
      </c>
      <c r="C408" s="1578"/>
    </row>
    <row r="409" spans="1:3" x14ac:dyDescent="0.2">
      <c r="B409" s="53" t="str">
        <f>+B403</f>
        <v>20x3</v>
      </c>
      <c r="C409" s="53" t="str">
        <f>+C403</f>
        <v>20x2</v>
      </c>
    </row>
    <row r="410" spans="1:3" x14ac:dyDescent="0.2">
      <c r="A410" s="52" t="s">
        <v>676</v>
      </c>
    </row>
    <row r="411" spans="1:3" x14ac:dyDescent="0.2">
      <c r="A411" s="52" t="s">
        <v>677</v>
      </c>
    </row>
    <row r="412" spans="1:3" x14ac:dyDescent="0.2">
      <c r="A412" s="52" t="s">
        <v>678</v>
      </c>
      <c r="B412" s="55"/>
      <c r="C412" s="55"/>
    </row>
    <row r="413" spans="1:3" x14ac:dyDescent="0.2">
      <c r="A413" s="51" t="s">
        <v>583</v>
      </c>
    </row>
    <row r="415" spans="1:3" x14ac:dyDescent="0.2">
      <c r="A415" s="52" t="s">
        <v>0</v>
      </c>
    </row>
    <row r="421" spans="1:3" x14ac:dyDescent="0.2">
      <c r="A421" s="64" t="s">
        <v>446</v>
      </c>
      <c r="B421" s="1578" t="s">
        <v>426</v>
      </c>
      <c r="C421" s="1578"/>
    </row>
    <row r="422" spans="1:3" x14ac:dyDescent="0.2">
      <c r="B422" s="53" t="str">
        <f>+B409</f>
        <v>20x3</v>
      </c>
      <c r="C422" s="53" t="str">
        <f>+C409</f>
        <v>20x2</v>
      </c>
    </row>
    <row r="423" spans="1:3" x14ac:dyDescent="0.2">
      <c r="A423" s="52" t="s">
        <v>692</v>
      </c>
    </row>
    <row r="424" spans="1:3" x14ac:dyDescent="0.2">
      <c r="A424" s="52" t="s">
        <v>693</v>
      </c>
    </row>
    <row r="425" spans="1:3" x14ac:dyDescent="0.2">
      <c r="A425" s="52" t="s">
        <v>43</v>
      </c>
    </row>
    <row r="426" spans="1:3" x14ac:dyDescent="0.2">
      <c r="A426" s="52" t="s">
        <v>694</v>
      </c>
    </row>
    <row r="427" spans="1:3" x14ac:dyDescent="0.2">
      <c r="A427" s="52" t="s">
        <v>184</v>
      </c>
    </row>
    <row r="428" spans="1:3" x14ac:dyDescent="0.2">
      <c r="A428" s="52" t="s">
        <v>695</v>
      </c>
    </row>
    <row r="429" spans="1:3" x14ac:dyDescent="0.2">
      <c r="A429" s="52" t="s">
        <v>696</v>
      </c>
      <c r="B429" s="55"/>
      <c r="C429" s="55"/>
    </row>
    <row r="430" spans="1:3" x14ac:dyDescent="0.2">
      <c r="A430" s="51" t="s">
        <v>697</v>
      </c>
      <c r="B430" s="51"/>
      <c r="C430" s="51"/>
    </row>
    <row r="432" spans="1:3" x14ac:dyDescent="0.2">
      <c r="B432" s="1578" t="s">
        <v>426</v>
      </c>
      <c r="C432" s="1578"/>
    </row>
    <row r="433" spans="1:3" x14ac:dyDescent="0.2">
      <c r="B433" s="53" t="str">
        <f>+B422</f>
        <v>20x3</v>
      </c>
      <c r="C433" s="53" t="str">
        <f>+C422</f>
        <v>20x2</v>
      </c>
    </row>
    <row r="434" spans="1:3" x14ac:dyDescent="0.2">
      <c r="A434" s="52" t="s">
        <v>698</v>
      </c>
    </row>
    <row r="437" spans="1:3" x14ac:dyDescent="0.2">
      <c r="A437" s="52" t="s">
        <v>699</v>
      </c>
      <c r="B437" s="1578" t="s">
        <v>426</v>
      </c>
      <c r="C437" s="1578"/>
    </row>
    <row r="438" spans="1:3" x14ac:dyDescent="0.2">
      <c r="B438" s="53" t="str">
        <f>+B433</f>
        <v>20x3</v>
      </c>
      <c r="C438" s="53" t="str">
        <f>+C433</f>
        <v>20x2</v>
      </c>
    </row>
    <row r="439" spans="1:3" ht="25.5" x14ac:dyDescent="0.2">
      <c r="A439" s="65" t="s">
        <v>700</v>
      </c>
    </row>
    <row r="440" spans="1:3" ht="25.5" x14ac:dyDescent="0.2">
      <c r="A440" s="65" t="s">
        <v>701</v>
      </c>
    </row>
    <row r="441" spans="1:3" ht="25.5" x14ac:dyDescent="0.2">
      <c r="A441" s="65" t="s">
        <v>702</v>
      </c>
    </row>
    <row r="449" spans="1:3" x14ac:dyDescent="0.2">
      <c r="A449" s="51" t="s">
        <v>149</v>
      </c>
      <c r="B449" s="1578" t="s">
        <v>426</v>
      </c>
      <c r="C449" s="1578"/>
    </row>
    <row r="450" spans="1:3" x14ac:dyDescent="0.2">
      <c r="B450" s="53" t="str">
        <f>+B438</f>
        <v>20x3</v>
      </c>
      <c r="C450" s="53" t="str">
        <f>+C438</f>
        <v>20x2</v>
      </c>
    </row>
    <row r="451" spans="1:3" x14ac:dyDescent="0.2">
      <c r="A451" s="52" t="s">
        <v>703</v>
      </c>
      <c r="B451" s="75"/>
      <c r="C451" s="75"/>
    </row>
    <row r="452" spans="1:3" x14ac:dyDescent="0.2">
      <c r="A452" s="52" t="s">
        <v>704</v>
      </c>
      <c r="B452" s="75"/>
      <c r="C452" s="75"/>
    </row>
    <row r="453" spans="1:3" x14ac:dyDescent="0.2">
      <c r="A453" s="52" t="s">
        <v>705</v>
      </c>
      <c r="B453" s="76"/>
      <c r="C453" s="76"/>
    </row>
    <row r="454" spans="1:3" x14ac:dyDescent="0.2">
      <c r="A454" s="51" t="s">
        <v>706</v>
      </c>
      <c r="B454" s="77"/>
      <c r="C454" s="77"/>
    </row>
    <row r="458" spans="1:3" x14ac:dyDescent="0.2">
      <c r="A458" s="51" t="s">
        <v>498</v>
      </c>
      <c r="B458" s="1578" t="s">
        <v>426</v>
      </c>
      <c r="C458" s="1578"/>
    </row>
    <row r="459" spans="1:3" x14ac:dyDescent="0.2">
      <c r="B459" s="53" t="str">
        <f>+B450</f>
        <v>20x3</v>
      </c>
      <c r="C459" s="53" t="str">
        <f>+C450</f>
        <v>20x2</v>
      </c>
    </row>
    <row r="460" spans="1:3" x14ac:dyDescent="0.2">
      <c r="A460" s="52" t="s">
        <v>186</v>
      </c>
    </row>
    <row r="461" spans="1:3" x14ac:dyDescent="0.2">
      <c r="A461" s="52" t="s">
        <v>707</v>
      </c>
    </row>
    <row r="462" spans="1:3" x14ac:dyDescent="0.2">
      <c r="A462" s="52" t="s">
        <v>708</v>
      </c>
    </row>
    <row r="463" spans="1:3" x14ac:dyDescent="0.2">
      <c r="A463" s="52" t="s">
        <v>79</v>
      </c>
    </row>
    <row r="464" spans="1:3" x14ac:dyDescent="0.2">
      <c r="A464" s="52" t="s">
        <v>709</v>
      </c>
    </row>
    <row r="465" spans="1:6" x14ac:dyDescent="0.2">
      <c r="A465" s="52" t="s">
        <v>710</v>
      </c>
      <c r="F465" s="30"/>
    </row>
    <row r="466" spans="1:6" x14ac:dyDescent="0.2">
      <c r="A466" s="52" t="s">
        <v>711</v>
      </c>
      <c r="F466" s="30"/>
    </row>
    <row r="467" spans="1:6" x14ac:dyDescent="0.2">
      <c r="A467" s="52" t="s">
        <v>222</v>
      </c>
      <c r="F467" s="30"/>
    </row>
    <row r="468" spans="1:6" x14ac:dyDescent="0.2">
      <c r="A468" s="52" t="s">
        <v>712</v>
      </c>
      <c r="F468" s="30"/>
    </row>
    <row r="469" spans="1:6" x14ac:dyDescent="0.2">
      <c r="A469" s="52" t="s">
        <v>713</v>
      </c>
      <c r="F469" s="30"/>
    </row>
    <row r="470" spans="1:6" x14ac:dyDescent="0.2">
      <c r="A470" s="52" t="s">
        <v>714</v>
      </c>
      <c r="F470" s="30"/>
    </row>
    <row r="471" spans="1:6" x14ac:dyDescent="0.2">
      <c r="A471" s="52" t="s">
        <v>715</v>
      </c>
      <c r="F471" s="30"/>
    </row>
    <row r="472" spans="1:6" x14ac:dyDescent="0.2">
      <c r="A472" s="52" t="s">
        <v>716</v>
      </c>
      <c r="B472" s="55"/>
      <c r="C472" s="55"/>
      <c r="D472" s="52" t="s">
        <v>848</v>
      </c>
      <c r="F472" s="30"/>
    </row>
    <row r="473" spans="1:6" x14ac:dyDescent="0.2">
      <c r="A473" s="51" t="s">
        <v>717</v>
      </c>
    </row>
    <row r="480" spans="1:6" x14ac:dyDescent="0.2">
      <c r="A480" s="64" t="s">
        <v>146</v>
      </c>
    </row>
    <row r="481" spans="1:6" x14ac:dyDescent="0.2">
      <c r="B481" s="1578" t="s">
        <v>426</v>
      </c>
      <c r="C481" s="1578"/>
    </row>
    <row r="482" spans="1:6" x14ac:dyDescent="0.2">
      <c r="B482" s="53" t="str">
        <f>+B459</f>
        <v>20x3</v>
      </c>
      <c r="C482" s="53" t="str">
        <f>+C459</f>
        <v>20x2</v>
      </c>
    </row>
    <row r="483" spans="1:6" x14ac:dyDescent="0.2">
      <c r="A483" s="52" t="s">
        <v>184</v>
      </c>
    </row>
    <row r="484" spans="1:6" x14ac:dyDescent="0.2">
      <c r="A484" s="52" t="s">
        <v>79</v>
      </c>
    </row>
    <row r="485" spans="1:6" x14ac:dyDescent="0.2">
      <c r="A485" s="52" t="s">
        <v>718</v>
      </c>
    </row>
    <row r="486" spans="1:6" x14ac:dyDescent="0.2">
      <c r="A486" s="52" t="s">
        <v>695</v>
      </c>
      <c r="B486" s="55"/>
      <c r="C486" s="55"/>
    </row>
    <row r="487" spans="1:6" x14ac:dyDescent="0.2">
      <c r="A487" s="51" t="s">
        <v>719</v>
      </c>
      <c r="B487" s="51"/>
      <c r="C487" s="51"/>
      <c r="F487" s="30"/>
    </row>
    <row r="491" spans="1:6" x14ac:dyDescent="0.2">
      <c r="A491" s="64" t="s">
        <v>450</v>
      </c>
    </row>
    <row r="492" spans="1:6" x14ac:dyDescent="0.2">
      <c r="B492" s="1578" t="s">
        <v>426</v>
      </c>
      <c r="C492" s="1578"/>
    </row>
    <row r="493" spans="1:6" x14ac:dyDescent="0.2">
      <c r="B493" s="53" t="str">
        <f>+B482</f>
        <v>20x3</v>
      </c>
      <c r="C493" s="53" t="str">
        <f>+C482</f>
        <v>20x2</v>
      </c>
    </row>
    <row r="494" spans="1:6" x14ac:dyDescent="0.2">
      <c r="A494" s="52" t="s">
        <v>154</v>
      </c>
    </row>
    <row r="495" spans="1:6" ht="25.5" x14ac:dyDescent="0.2">
      <c r="A495" s="70" t="s">
        <v>720</v>
      </c>
    </row>
    <row r="496" spans="1:6" ht="25.5" x14ac:dyDescent="0.2">
      <c r="A496" s="70" t="s">
        <v>721</v>
      </c>
    </row>
    <row r="497" spans="1:3" ht="25.5" x14ac:dyDescent="0.2">
      <c r="A497" s="70" t="s">
        <v>722</v>
      </c>
    </row>
    <row r="498" spans="1:3" ht="25.5" x14ac:dyDescent="0.2">
      <c r="A498" s="70" t="s">
        <v>723</v>
      </c>
      <c r="B498" s="55"/>
      <c r="C498" s="55"/>
    </row>
    <row r="499" spans="1:3" x14ac:dyDescent="0.2">
      <c r="A499" s="51" t="s">
        <v>724</v>
      </c>
      <c r="B499" s="51"/>
      <c r="C499" s="51"/>
    </row>
    <row r="506" spans="1:3" x14ac:dyDescent="0.2">
      <c r="A506" s="64" t="s">
        <v>151</v>
      </c>
      <c r="B506" s="1578" t="s">
        <v>426</v>
      </c>
      <c r="C506" s="1578"/>
    </row>
    <row r="507" spans="1:3" x14ac:dyDescent="0.2">
      <c r="B507" s="53" t="str">
        <f>+B493</f>
        <v>20x3</v>
      </c>
      <c r="C507" s="53" t="str">
        <f>+C493</f>
        <v>20x2</v>
      </c>
    </row>
    <row r="508" spans="1:3" x14ac:dyDescent="0.2">
      <c r="A508" s="52" t="s">
        <v>725</v>
      </c>
    </row>
    <row r="509" spans="1:3" x14ac:dyDescent="0.2">
      <c r="A509" s="52" t="s">
        <v>726</v>
      </c>
    </row>
    <row r="510" spans="1:3" ht="25.5" x14ac:dyDescent="0.2">
      <c r="A510" s="65" t="s">
        <v>727</v>
      </c>
      <c r="B510" s="55"/>
      <c r="C510" s="55"/>
    </row>
    <row r="511" spans="1:3" x14ac:dyDescent="0.2">
      <c r="A511" s="51" t="s">
        <v>728</v>
      </c>
      <c r="B511" s="51"/>
      <c r="C511" s="51"/>
    </row>
    <row r="514" spans="1:3" x14ac:dyDescent="0.2">
      <c r="A514" s="51" t="s">
        <v>152</v>
      </c>
      <c r="B514" s="1578" t="s">
        <v>426</v>
      </c>
      <c r="C514" s="1578"/>
    </row>
    <row r="515" spans="1:3" x14ac:dyDescent="0.2">
      <c r="B515" s="53" t="str">
        <f>+B507</f>
        <v>20x3</v>
      </c>
      <c r="C515" s="53" t="str">
        <f>+C507</f>
        <v>20x2</v>
      </c>
    </row>
    <row r="516" spans="1:3" ht="14.1" customHeight="1" x14ac:dyDescent="0.2">
      <c r="A516" s="52" t="s">
        <v>729</v>
      </c>
    </row>
    <row r="517" spans="1:3" ht="25.5" x14ac:dyDescent="0.2">
      <c r="A517" s="65" t="s">
        <v>730</v>
      </c>
    </row>
    <row r="518" spans="1:3" x14ac:dyDescent="0.2">
      <c r="A518" s="52" t="s">
        <v>731</v>
      </c>
    </row>
    <row r="519" spans="1:3" x14ac:dyDescent="0.2">
      <c r="A519" s="51" t="s">
        <v>732</v>
      </c>
    </row>
    <row r="522" spans="1:3" x14ac:dyDescent="0.2">
      <c r="A522" s="52" t="s">
        <v>1046</v>
      </c>
    </row>
    <row r="523" spans="1:3" x14ac:dyDescent="0.2">
      <c r="B523" s="1578" t="s">
        <v>426</v>
      </c>
      <c r="C523" s="1578"/>
    </row>
    <row r="524" spans="1:3" x14ac:dyDescent="0.2">
      <c r="B524" s="53" t="str">
        <f>+B515</f>
        <v>20x3</v>
      </c>
      <c r="C524" s="53" t="str">
        <f>+C515</f>
        <v>20x2</v>
      </c>
    </row>
    <row r="525" spans="1:3" x14ac:dyDescent="0.2">
      <c r="A525" s="52" t="s">
        <v>733</v>
      </c>
    </row>
    <row r="526" spans="1:3" x14ac:dyDescent="0.2">
      <c r="A526" s="52" t="s">
        <v>734</v>
      </c>
    </row>
    <row r="527" spans="1:3" x14ac:dyDescent="0.2">
      <c r="A527" s="52" t="s">
        <v>735</v>
      </c>
      <c r="B527" s="55"/>
      <c r="C527" s="55"/>
    </row>
    <row r="528" spans="1:3" x14ac:dyDescent="0.2">
      <c r="A528" s="51" t="s">
        <v>736</v>
      </c>
    </row>
    <row r="529" spans="1:3" x14ac:dyDescent="0.2">
      <c r="A529" s="52" t="s">
        <v>737</v>
      </c>
      <c r="B529" s="55"/>
      <c r="C529" s="55"/>
    </row>
    <row r="530" spans="1:3" x14ac:dyDescent="0.2">
      <c r="A530" s="51" t="s">
        <v>738</v>
      </c>
    </row>
    <row r="531" spans="1:3" x14ac:dyDescent="0.2">
      <c r="A531" s="52" t="s">
        <v>739</v>
      </c>
    </row>
    <row r="532" spans="1:3" x14ac:dyDescent="0.2">
      <c r="A532" s="52" t="s">
        <v>740</v>
      </c>
      <c r="B532" s="55"/>
      <c r="C532" s="55"/>
    </row>
    <row r="533" spans="1:3" x14ac:dyDescent="0.2">
      <c r="A533" s="51" t="s">
        <v>741</v>
      </c>
    </row>
    <row r="534" spans="1:3" x14ac:dyDescent="0.2">
      <c r="A534" s="51" t="s">
        <v>742</v>
      </c>
    </row>
    <row r="535" spans="1:3" x14ac:dyDescent="0.2">
      <c r="A535" s="51"/>
    </row>
    <row r="536" spans="1:3" x14ac:dyDescent="0.2">
      <c r="A536" s="51"/>
    </row>
    <row r="538" spans="1:3" x14ac:dyDescent="0.2">
      <c r="A538" s="52" t="s">
        <v>743</v>
      </c>
    </row>
    <row r="539" spans="1:3" x14ac:dyDescent="0.2">
      <c r="B539" s="1578" t="s">
        <v>426</v>
      </c>
      <c r="C539" s="1578"/>
    </row>
    <row r="540" spans="1:3" x14ac:dyDescent="0.2">
      <c r="B540" s="53" t="str">
        <f>+B524</f>
        <v>20x3</v>
      </c>
      <c r="C540" s="53" t="str">
        <f>+C524</f>
        <v>20x2</v>
      </c>
    </row>
    <row r="541" spans="1:3" x14ac:dyDescent="0.2">
      <c r="A541" s="52" t="s">
        <v>744</v>
      </c>
    </row>
    <row r="542" spans="1:3" x14ac:dyDescent="0.2">
      <c r="A542" s="52" t="s">
        <v>745</v>
      </c>
    </row>
    <row r="543" spans="1:3" x14ac:dyDescent="0.2">
      <c r="A543" s="52" t="s">
        <v>1045</v>
      </c>
      <c r="B543" s="55"/>
      <c r="C543" s="55"/>
    </row>
    <row r="544" spans="1:3" x14ac:dyDescent="0.2">
      <c r="A544" s="51" t="s">
        <v>746</v>
      </c>
    </row>
    <row r="545" spans="1:3" x14ac:dyDescent="0.2">
      <c r="A545" s="51"/>
    </row>
    <row r="546" spans="1:3" x14ac:dyDescent="0.2">
      <c r="A546" s="51"/>
    </row>
    <row r="547" spans="1:3" x14ac:dyDescent="0.2">
      <c r="A547" s="51"/>
    </row>
    <row r="548" spans="1:3" x14ac:dyDescent="0.2">
      <c r="A548" s="51"/>
    </row>
    <row r="549" spans="1:3" x14ac:dyDescent="0.2">
      <c r="A549" s="51"/>
    </row>
    <row r="550" spans="1:3" x14ac:dyDescent="0.2">
      <c r="A550" s="51" t="s">
        <v>272</v>
      </c>
    </row>
    <row r="551" spans="1:3" x14ac:dyDescent="0.2">
      <c r="A551" s="51"/>
    </row>
    <row r="552" spans="1:3" x14ac:dyDescent="0.2">
      <c r="A552" s="1579" t="s">
        <v>747</v>
      </c>
      <c r="B552" s="1579"/>
      <c r="C552" s="1579"/>
    </row>
    <row r="553" spans="1:3" x14ac:dyDescent="0.2">
      <c r="A553" s="51"/>
      <c r="B553" s="1578" t="s">
        <v>426</v>
      </c>
      <c r="C553" s="1578"/>
    </row>
    <row r="554" spans="1:3" x14ac:dyDescent="0.2">
      <c r="A554" s="51"/>
      <c r="B554" s="53" t="str">
        <f>+B540</f>
        <v>20x3</v>
      </c>
      <c r="C554" s="53" t="str">
        <f>+C540</f>
        <v>20x2</v>
      </c>
    </row>
    <row r="555" spans="1:3" x14ac:dyDescent="0.2">
      <c r="A555" s="52" t="s">
        <v>16</v>
      </c>
    </row>
    <row r="556" spans="1:3" x14ac:dyDescent="0.2">
      <c r="A556" s="52" t="s">
        <v>59</v>
      </c>
    </row>
    <row r="557" spans="1:3" x14ac:dyDescent="0.2">
      <c r="A557" s="52" t="s">
        <v>72</v>
      </c>
    </row>
    <row r="558" spans="1:3" x14ac:dyDescent="0.2">
      <c r="A558" s="52" t="s">
        <v>635</v>
      </c>
    </row>
    <row r="559" spans="1:3" x14ac:dyDescent="0.2">
      <c r="A559" s="52" t="s">
        <v>748</v>
      </c>
    </row>
    <row r="560" spans="1:3" x14ac:dyDescent="0.2">
      <c r="A560" s="52" t="s">
        <v>749</v>
      </c>
    </row>
    <row r="561" spans="1:3" x14ac:dyDescent="0.2">
      <c r="A561" s="52" t="s">
        <v>750</v>
      </c>
    </row>
    <row r="562" spans="1:3" x14ac:dyDescent="0.2">
      <c r="A562" s="52" t="s">
        <v>751</v>
      </c>
    </row>
    <row r="563" spans="1:3" x14ac:dyDescent="0.2">
      <c r="A563" s="52" t="s">
        <v>191</v>
      </c>
    </row>
    <row r="564" spans="1:3" ht="14.1" customHeight="1" x14ac:dyDescent="0.2">
      <c r="A564" s="52" t="s">
        <v>284</v>
      </c>
      <c r="B564" s="55"/>
      <c r="C564" s="55"/>
    </row>
    <row r="565" spans="1:3" x14ac:dyDescent="0.2">
      <c r="A565" s="51" t="s">
        <v>752</v>
      </c>
    </row>
    <row r="566" spans="1:3" x14ac:dyDescent="0.2">
      <c r="A566" s="51" t="s">
        <v>289</v>
      </c>
    </row>
    <row r="567" spans="1:3" x14ac:dyDescent="0.2">
      <c r="A567" s="52" t="s">
        <v>753</v>
      </c>
      <c r="B567" s="55"/>
      <c r="C567" s="55"/>
    </row>
    <row r="568" spans="1:3" x14ac:dyDescent="0.2">
      <c r="A568" s="51" t="s">
        <v>177</v>
      </c>
    </row>
    <row r="570" spans="1:3" ht="25.5" x14ac:dyDescent="0.2">
      <c r="A570" s="65" t="s">
        <v>754</v>
      </c>
    </row>
    <row r="571" spans="1:3" ht="25.5" x14ac:dyDescent="0.2">
      <c r="A571" s="65" t="s">
        <v>755</v>
      </c>
    </row>
    <row r="574" spans="1:3" ht="72" customHeight="1" x14ac:dyDescent="0.2">
      <c r="A574" s="1579" t="s">
        <v>756</v>
      </c>
      <c r="B574" s="1579"/>
      <c r="C574" s="1579"/>
    </row>
    <row r="576" spans="1:3" x14ac:dyDescent="0.2">
      <c r="B576" s="1578" t="s">
        <v>426</v>
      </c>
      <c r="C576" s="1578"/>
    </row>
    <row r="577" spans="1:3" x14ac:dyDescent="0.2">
      <c r="B577" s="53" t="str">
        <f>+B554</f>
        <v>20x3</v>
      </c>
      <c r="C577" s="53" t="str">
        <f>+C554</f>
        <v>20x2</v>
      </c>
    </row>
    <row r="578" spans="1:3" x14ac:dyDescent="0.2">
      <c r="A578" s="52" t="s">
        <v>144</v>
      </c>
    </row>
    <row r="579" spans="1:3" x14ac:dyDescent="0.2">
      <c r="A579" s="52" t="s">
        <v>127</v>
      </c>
      <c r="B579" s="55"/>
      <c r="C579" s="55"/>
    </row>
    <row r="580" spans="1:3" x14ac:dyDescent="0.2">
      <c r="A580" s="51" t="s">
        <v>57</v>
      </c>
      <c r="B580" s="51"/>
      <c r="C580" s="51"/>
    </row>
    <row r="581" spans="1:3" x14ac:dyDescent="0.2">
      <c r="A581" s="51"/>
      <c r="B581" s="51"/>
      <c r="C581" s="51"/>
    </row>
    <row r="582" spans="1:3" x14ac:dyDescent="0.2">
      <c r="A582" s="51"/>
      <c r="B582" s="51"/>
      <c r="C582" s="51"/>
    </row>
    <row r="583" spans="1:3" x14ac:dyDescent="0.2">
      <c r="B583" s="1578" t="s">
        <v>426</v>
      </c>
      <c r="C583" s="1578"/>
    </row>
    <row r="584" spans="1:3" x14ac:dyDescent="0.2">
      <c r="B584" s="53" t="str">
        <f>+B577</f>
        <v>20x3</v>
      </c>
      <c r="C584" s="53" t="str">
        <f>+C577</f>
        <v>20x2</v>
      </c>
    </row>
    <row r="585" spans="1:3" x14ac:dyDescent="0.2">
      <c r="A585" s="70" t="s">
        <v>757</v>
      </c>
    </row>
    <row r="586" spans="1:3" x14ac:dyDescent="0.2">
      <c r="A586" s="70" t="s">
        <v>758</v>
      </c>
    </row>
    <row r="587" spans="1:3" x14ac:dyDescent="0.2">
      <c r="A587" s="70" t="s">
        <v>152</v>
      </c>
    </row>
    <row r="588" spans="1:3" ht="25.5" x14ac:dyDescent="0.2">
      <c r="A588" s="70" t="s">
        <v>759</v>
      </c>
    </row>
    <row r="589" spans="1:3" ht="38.25" x14ac:dyDescent="0.2">
      <c r="A589" s="70" t="s">
        <v>760</v>
      </c>
    </row>
    <row r="590" spans="1:3" ht="51" x14ac:dyDescent="0.2">
      <c r="A590" s="70" t="s">
        <v>761</v>
      </c>
    </row>
    <row r="591" spans="1:3" ht="63.75" x14ac:dyDescent="0.2">
      <c r="A591" s="70" t="s">
        <v>762</v>
      </c>
    </row>
    <row r="592" spans="1:3" ht="63.75" x14ac:dyDescent="0.2">
      <c r="A592" s="70" t="s">
        <v>763</v>
      </c>
    </row>
    <row r="593" spans="1:3" ht="38.25" x14ac:dyDescent="0.2">
      <c r="A593" s="70" t="s">
        <v>764</v>
      </c>
    </row>
    <row r="594" spans="1:3" ht="38.25" x14ac:dyDescent="0.2">
      <c r="A594" s="70" t="s">
        <v>765</v>
      </c>
    </row>
    <row r="595" spans="1:3" ht="38.25" x14ac:dyDescent="0.2">
      <c r="A595" s="70" t="s">
        <v>766</v>
      </c>
    </row>
    <row r="596" spans="1:3" ht="38.25" x14ac:dyDescent="0.2">
      <c r="A596" s="70" t="s">
        <v>767</v>
      </c>
    </row>
    <row r="597" spans="1:3" ht="49.5" customHeight="1" x14ac:dyDescent="0.2">
      <c r="A597" s="70" t="s">
        <v>768</v>
      </c>
    </row>
    <row r="598" spans="1:3" ht="25.5" x14ac:dyDescent="0.2">
      <c r="A598" s="70" t="s">
        <v>769</v>
      </c>
      <c r="B598" s="55"/>
      <c r="C598" s="55"/>
    </row>
    <row r="599" spans="1:3" x14ac:dyDescent="0.2">
      <c r="A599" s="51" t="s">
        <v>770</v>
      </c>
      <c r="B599" s="51"/>
      <c r="C599" s="51"/>
    </row>
    <row r="607" spans="1:3" x14ac:dyDescent="0.2">
      <c r="A607" s="51" t="s">
        <v>771</v>
      </c>
      <c r="B607" s="1578" t="s">
        <v>426</v>
      </c>
      <c r="C607" s="1578"/>
    </row>
    <row r="608" spans="1:3" x14ac:dyDescent="0.2">
      <c r="B608" s="53" t="str">
        <f>+B584</f>
        <v>20x3</v>
      </c>
      <c r="C608" s="53" t="str">
        <f>+C584</f>
        <v>20x2</v>
      </c>
    </row>
    <row r="609" spans="1:3" x14ac:dyDescent="0.2">
      <c r="A609" s="52" t="s">
        <v>772</v>
      </c>
      <c r="B609" s="68"/>
      <c r="C609" s="68"/>
    </row>
    <row r="610" spans="1:3" x14ac:dyDescent="0.2">
      <c r="A610" s="52" t="s">
        <v>773</v>
      </c>
      <c r="B610" s="68"/>
      <c r="C610" s="68"/>
    </row>
    <row r="611" spans="1:3" x14ac:dyDescent="0.2">
      <c r="A611" s="52" t="s">
        <v>774</v>
      </c>
      <c r="B611" s="68"/>
      <c r="C611" s="68"/>
    </row>
    <row r="612" spans="1:3" x14ac:dyDescent="0.2">
      <c r="A612" s="52" t="s">
        <v>775</v>
      </c>
      <c r="B612" s="68"/>
      <c r="C612" s="68"/>
    </row>
    <row r="613" spans="1:3" x14ac:dyDescent="0.2">
      <c r="B613" s="68"/>
      <c r="C613" s="68"/>
    </row>
    <row r="614" spans="1:3" x14ac:dyDescent="0.2">
      <c r="B614" s="1578" t="s">
        <v>426</v>
      </c>
      <c r="C614" s="1578"/>
    </row>
    <row r="615" spans="1:3" x14ac:dyDescent="0.2">
      <c r="B615" s="53" t="str">
        <f>+B608</f>
        <v>20x3</v>
      </c>
      <c r="C615" s="53" t="str">
        <f>+C608</f>
        <v>20x2</v>
      </c>
    </row>
    <row r="616" spans="1:3" x14ac:dyDescent="0.2">
      <c r="A616" s="52" t="s">
        <v>776</v>
      </c>
      <c r="B616" s="68"/>
      <c r="C616" s="68"/>
    </row>
    <row r="617" spans="1:3" x14ac:dyDescent="0.2">
      <c r="A617" s="52" t="s">
        <v>777</v>
      </c>
      <c r="B617" s="68"/>
      <c r="C617" s="68"/>
    </row>
    <row r="618" spans="1:3" x14ac:dyDescent="0.2">
      <c r="A618" s="52" t="s">
        <v>778</v>
      </c>
      <c r="B618" s="68"/>
      <c r="C618" s="68"/>
    </row>
    <row r="619" spans="1:3" x14ac:dyDescent="0.2">
      <c r="B619" s="68"/>
      <c r="C619" s="68"/>
    </row>
    <row r="620" spans="1:3" x14ac:dyDescent="0.2">
      <c r="B620" s="68"/>
      <c r="C620" s="68"/>
    </row>
    <row r="621" spans="1:3" x14ac:dyDescent="0.2">
      <c r="B621" s="68"/>
      <c r="C621" s="68"/>
    </row>
    <row r="625" spans="1:3" x14ac:dyDescent="0.2">
      <c r="A625" s="51" t="s">
        <v>779</v>
      </c>
      <c r="B625" s="1578" t="s">
        <v>426</v>
      </c>
      <c r="C625" s="1578"/>
    </row>
    <row r="626" spans="1:3" x14ac:dyDescent="0.2">
      <c r="B626" s="53" t="str">
        <f>+B615</f>
        <v>20x3</v>
      </c>
      <c r="C626" s="53" t="str">
        <f>+C615</f>
        <v>20x2</v>
      </c>
    </row>
    <row r="627" spans="1:3" x14ac:dyDescent="0.2">
      <c r="A627" s="51" t="s">
        <v>614</v>
      </c>
    </row>
    <row r="628" spans="1:3" x14ac:dyDescent="0.2">
      <c r="A628" s="52" t="s">
        <v>692</v>
      </c>
    </row>
    <row r="629" spans="1:3" x14ac:dyDescent="0.2">
      <c r="A629" s="52" t="s">
        <v>780</v>
      </c>
    </row>
    <row r="630" spans="1:3" x14ac:dyDescent="0.2">
      <c r="A630" s="52" t="s">
        <v>781</v>
      </c>
    </row>
    <row r="631" spans="1:3" x14ac:dyDescent="0.2">
      <c r="A631" s="52" t="s">
        <v>782</v>
      </c>
    </row>
    <row r="632" spans="1:3" x14ac:dyDescent="0.2">
      <c r="A632" s="52" t="s">
        <v>783</v>
      </c>
    </row>
    <row r="633" spans="1:3" x14ac:dyDescent="0.2">
      <c r="A633" s="52" t="s">
        <v>784</v>
      </c>
    </row>
    <row r="634" spans="1:3" x14ac:dyDescent="0.2">
      <c r="A634" s="52" t="s">
        <v>304</v>
      </c>
    </row>
    <row r="635" spans="1:3" x14ac:dyDescent="0.2">
      <c r="A635" s="52" t="s">
        <v>785</v>
      </c>
    </row>
    <row r="636" spans="1:3" x14ac:dyDescent="0.2">
      <c r="A636" s="52" t="s">
        <v>786</v>
      </c>
    </row>
    <row r="637" spans="1:3" x14ac:dyDescent="0.2">
      <c r="A637" s="52" t="s">
        <v>787</v>
      </c>
    </row>
    <row r="638" spans="1:3" x14ac:dyDescent="0.2">
      <c r="A638" s="52" t="s">
        <v>788</v>
      </c>
    </row>
    <row r="639" spans="1:3" x14ac:dyDescent="0.2">
      <c r="A639" s="52" t="s">
        <v>789</v>
      </c>
    </row>
    <row r="640" spans="1:3" x14ac:dyDescent="0.2">
      <c r="A640" s="52" t="s">
        <v>790</v>
      </c>
    </row>
    <row r="641" spans="1:3" x14ac:dyDescent="0.2">
      <c r="A641" s="52" t="s">
        <v>791</v>
      </c>
    </row>
    <row r="642" spans="1:3" x14ac:dyDescent="0.2">
      <c r="A642" s="52" t="s">
        <v>792</v>
      </c>
    </row>
    <row r="643" spans="1:3" x14ac:dyDescent="0.2">
      <c r="A643" s="52" t="s">
        <v>500</v>
      </c>
    </row>
    <row r="646" spans="1:3" ht="25.5" x14ac:dyDescent="0.2">
      <c r="A646" s="65" t="s">
        <v>793</v>
      </c>
      <c r="B646" s="1578" t="s">
        <v>426</v>
      </c>
      <c r="C646" s="1578"/>
    </row>
    <row r="647" spans="1:3" x14ac:dyDescent="0.2">
      <c r="B647" s="53" t="str">
        <f>+B626</f>
        <v>20x3</v>
      </c>
      <c r="C647" s="53" t="str">
        <f>+C626</f>
        <v>20x2</v>
      </c>
    </row>
    <row r="648" spans="1:3" x14ac:dyDescent="0.2">
      <c r="A648" s="65" t="s">
        <v>794</v>
      </c>
    </row>
    <row r="649" spans="1:3" x14ac:dyDescent="0.2">
      <c r="A649" s="52" t="s">
        <v>795</v>
      </c>
    </row>
    <row r="650" spans="1:3" x14ac:dyDescent="0.2">
      <c r="A650" s="52" t="s">
        <v>796</v>
      </c>
    </row>
    <row r="651" spans="1:3" x14ac:dyDescent="0.2">
      <c r="A651" s="52" t="s">
        <v>797</v>
      </c>
    </row>
    <row r="652" spans="1:3" x14ac:dyDescent="0.2">
      <c r="A652" s="52" t="s">
        <v>798</v>
      </c>
      <c r="B652" s="55"/>
      <c r="C652" s="55"/>
    </row>
    <row r="653" spans="1:3" x14ac:dyDescent="0.2">
      <c r="A653" s="51" t="s">
        <v>799</v>
      </c>
      <c r="B653" s="51"/>
      <c r="C653" s="51"/>
    </row>
    <row r="658" spans="1:3" x14ac:dyDescent="0.2">
      <c r="A658" s="51" t="s">
        <v>800</v>
      </c>
    </row>
    <row r="659" spans="1:3" ht="16.5" customHeight="1" x14ac:dyDescent="0.2">
      <c r="A659" s="51"/>
    </row>
    <row r="660" spans="1:3" ht="16.5" customHeight="1" x14ac:dyDescent="0.2">
      <c r="A660" s="52" t="s">
        <v>801</v>
      </c>
      <c r="B660" s="1578" t="s">
        <v>426</v>
      </c>
      <c r="C660" s="1578"/>
    </row>
    <row r="661" spans="1:3" x14ac:dyDescent="0.2">
      <c r="B661" s="53" t="str">
        <f>+B647</f>
        <v>20x3</v>
      </c>
      <c r="C661" s="53" t="str">
        <f>+C647</f>
        <v>20x2</v>
      </c>
    </row>
    <row r="662" spans="1:3" x14ac:dyDescent="0.2">
      <c r="A662" s="52" t="s">
        <v>143</v>
      </c>
    </row>
    <row r="663" spans="1:3" x14ac:dyDescent="0.2">
      <c r="A663" s="52" t="s">
        <v>16</v>
      </c>
    </row>
    <row r="664" spans="1:3" x14ac:dyDescent="0.2">
      <c r="A664" s="52" t="s">
        <v>802</v>
      </c>
    </row>
    <row r="665" spans="1:3" x14ac:dyDescent="0.2">
      <c r="A665" s="52" t="s">
        <v>72</v>
      </c>
    </row>
    <row r="666" spans="1:3" x14ac:dyDescent="0.2">
      <c r="A666" s="52" t="s">
        <v>140</v>
      </c>
    </row>
    <row r="667" spans="1:3" x14ac:dyDescent="0.2">
      <c r="A667" s="52" t="s">
        <v>13</v>
      </c>
    </row>
    <row r="668" spans="1:3" x14ac:dyDescent="0.2">
      <c r="A668" s="52" t="s">
        <v>141</v>
      </c>
    </row>
    <row r="669" spans="1:3" x14ac:dyDescent="0.2">
      <c r="A669" s="52" t="s">
        <v>142</v>
      </c>
      <c r="B669" s="55"/>
      <c r="C669" s="55"/>
    </row>
    <row r="670" spans="1:3" x14ac:dyDescent="0.2">
      <c r="A670" s="51" t="s">
        <v>803</v>
      </c>
      <c r="B670" s="51"/>
    </row>
    <row r="673" spans="1:3" x14ac:dyDescent="0.2">
      <c r="A673" s="52" t="s">
        <v>804</v>
      </c>
      <c r="B673" s="1578" t="s">
        <v>426</v>
      </c>
      <c r="C673" s="1578"/>
    </row>
    <row r="674" spans="1:3" x14ac:dyDescent="0.2">
      <c r="B674" s="53" t="str">
        <f>+B661</f>
        <v>20x3</v>
      </c>
      <c r="C674" s="53" t="str">
        <f>+C661</f>
        <v>20x2</v>
      </c>
    </row>
    <row r="675" spans="1:3" x14ac:dyDescent="0.2">
      <c r="A675" s="70" t="s">
        <v>143</v>
      </c>
    </row>
    <row r="676" spans="1:3" x14ac:dyDescent="0.2">
      <c r="A676" s="70" t="s">
        <v>16</v>
      </c>
    </row>
    <row r="677" spans="1:3" x14ac:dyDescent="0.2">
      <c r="A677" s="70" t="s">
        <v>802</v>
      </c>
    </row>
    <row r="678" spans="1:3" x14ac:dyDescent="0.2">
      <c r="A678" s="70" t="s">
        <v>140</v>
      </c>
    </row>
    <row r="679" spans="1:3" x14ac:dyDescent="0.2">
      <c r="A679" s="70" t="s">
        <v>13</v>
      </c>
    </row>
    <row r="680" spans="1:3" x14ac:dyDescent="0.2">
      <c r="A680" s="70" t="s">
        <v>141</v>
      </c>
    </row>
    <row r="681" spans="1:3" x14ac:dyDescent="0.2">
      <c r="A681" s="70" t="s">
        <v>142</v>
      </c>
      <c r="B681" s="55"/>
      <c r="C681" s="55"/>
    </row>
    <row r="682" spans="1:3" ht="25.5" x14ac:dyDescent="0.2">
      <c r="A682" s="56" t="s">
        <v>804</v>
      </c>
    </row>
    <row r="686" spans="1:3" x14ac:dyDescent="0.2">
      <c r="A686" s="51" t="s">
        <v>805</v>
      </c>
    </row>
    <row r="688" spans="1:3" ht="89.25" x14ac:dyDescent="0.2">
      <c r="A688" s="65" t="s">
        <v>806</v>
      </c>
      <c r="B688" s="1578" t="s">
        <v>426</v>
      </c>
      <c r="C688" s="1578"/>
    </row>
    <row r="689" spans="1:3" x14ac:dyDescent="0.2">
      <c r="B689" s="53" t="str">
        <f>+B674</f>
        <v>20x3</v>
      </c>
      <c r="C689" s="53" t="str">
        <f>+C674</f>
        <v>20x2</v>
      </c>
    </row>
    <row r="690" spans="1:3" x14ac:dyDescent="0.2">
      <c r="A690" s="52" t="s">
        <v>289</v>
      </c>
      <c r="B690" s="68"/>
      <c r="C690" s="68"/>
    </row>
    <row r="691" spans="1:3" x14ac:dyDescent="0.2">
      <c r="A691" s="52" t="s">
        <v>807</v>
      </c>
    </row>
    <row r="692" spans="1:3" x14ac:dyDescent="0.2">
      <c r="A692" s="52" t="s">
        <v>808</v>
      </c>
    </row>
    <row r="693" spans="1:3" x14ac:dyDescent="0.2">
      <c r="A693" s="52" t="s">
        <v>809</v>
      </c>
    </row>
    <row r="694" spans="1:3" x14ac:dyDescent="0.2">
      <c r="A694" s="52" t="s">
        <v>177</v>
      </c>
    </row>
    <row r="698" spans="1:3" x14ac:dyDescent="0.2">
      <c r="A698" s="51" t="s">
        <v>810</v>
      </c>
    </row>
    <row r="701" spans="1:3" x14ac:dyDescent="0.2">
      <c r="A701" s="52" t="s">
        <v>811</v>
      </c>
      <c r="B701" s="1578" t="s">
        <v>426</v>
      </c>
      <c r="C701" s="1578"/>
    </row>
    <row r="702" spans="1:3" x14ac:dyDescent="0.2">
      <c r="B702" s="53" t="str">
        <f>+B689</f>
        <v>20x3</v>
      </c>
      <c r="C702" s="53" t="str">
        <f>+C689</f>
        <v>20x2</v>
      </c>
    </row>
    <row r="714" spans="1:3" x14ac:dyDescent="0.2">
      <c r="A714" s="51" t="s">
        <v>812</v>
      </c>
    </row>
    <row r="716" spans="1:3" x14ac:dyDescent="0.2">
      <c r="B716" s="1578" t="s">
        <v>426</v>
      </c>
      <c r="C716" s="1578"/>
    </row>
    <row r="717" spans="1:3" x14ac:dyDescent="0.2">
      <c r="B717" s="53" t="str">
        <f>+B702</f>
        <v>20x3</v>
      </c>
      <c r="C717" s="53" t="str">
        <f>+C702</f>
        <v>20x2</v>
      </c>
    </row>
    <row r="725" spans="1:3" x14ac:dyDescent="0.2">
      <c r="A725" s="51" t="s">
        <v>814</v>
      </c>
    </row>
    <row r="727" spans="1:3" x14ac:dyDescent="0.2">
      <c r="A727" s="52" t="s">
        <v>815</v>
      </c>
      <c r="B727" s="1578" t="s">
        <v>426</v>
      </c>
      <c r="C727" s="1578"/>
    </row>
    <row r="728" spans="1:3" x14ac:dyDescent="0.2">
      <c r="B728" s="53" t="str">
        <f>+B717</f>
        <v>20x3</v>
      </c>
      <c r="C728" s="53" t="str">
        <f>+C717</f>
        <v>20x2</v>
      </c>
    </row>
    <row r="729" spans="1:3" ht="25.5" x14ac:dyDescent="0.2">
      <c r="A729" s="65" t="s">
        <v>816</v>
      </c>
    </row>
    <row r="730" spans="1:3" ht="25.5" x14ac:dyDescent="0.2">
      <c r="A730" s="65" t="s">
        <v>817</v>
      </c>
    </row>
    <row r="731" spans="1:3" ht="25.5" x14ac:dyDescent="0.2">
      <c r="A731" s="65" t="s">
        <v>818</v>
      </c>
    </row>
    <row r="732" spans="1:3" ht="25.5" x14ac:dyDescent="0.2">
      <c r="A732" s="65" t="s">
        <v>819</v>
      </c>
    </row>
    <row r="733" spans="1:3" x14ac:dyDescent="0.2">
      <c r="A733" s="65" t="s">
        <v>820</v>
      </c>
    </row>
    <row r="734" spans="1:3" x14ac:dyDescent="0.2">
      <c r="A734" s="65" t="s">
        <v>821</v>
      </c>
    </row>
    <row r="750" spans="2:3" s="63" customFormat="1" x14ac:dyDescent="0.2"/>
    <row r="752" spans="2:3" x14ac:dyDescent="0.2">
      <c r="B752" s="78"/>
      <c r="C752" s="78"/>
    </row>
    <row r="753" spans="2:3" x14ac:dyDescent="0.2">
      <c r="B753" s="78"/>
      <c r="C753" s="78"/>
    </row>
    <row r="754" spans="2:3" x14ac:dyDescent="0.2">
      <c r="B754" s="78"/>
      <c r="C754" s="78"/>
    </row>
    <row r="755" spans="2:3" x14ac:dyDescent="0.2">
      <c r="B755" s="78"/>
      <c r="C755" s="78"/>
    </row>
    <row r="756" spans="2:3" x14ac:dyDescent="0.2">
      <c r="B756" s="78"/>
      <c r="C756" s="78"/>
    </row>
    <row r="757" spans="2:3" x14ac:dyDescent="0.2">
      <c r="B757" s="78"/>
      <c r="C757" s="78"/>
    </row>
    <row r="758" spans="2:3" x14ac:dyDescent="0.2">
      <c r="B758" s="78"/>
      <c r="C758" s="78"/>
    </row>
    <row r="759" spans="2:3" x14ac:dyDescent="0.2">
      <c r="B759" s="78"/>
      <c r="C759" s="78"/>
    </row>
    <row r="760" spans="2:3" x14ac:dyDescent="0.2">
      <c r="B760" s="78"/>
      <c r="C760" s="78"/>
    </row>
    <row r="761" spans="2:3" x14ac:dyDescent="0.2">
      <c r="B761" s="78"/>
      <c r="C761" s="78"/>
    </row>
  </sheetData>
  <mergeCells count="59">
    <mergeCell ref="B2:C2"/>
    <mergeCell ref="B15:C15"/>
    <mergeCell ref="B31:C31"/>
    <mergeCell ref="B39:C39"/>
    <mergeCell ref="B50:C50"/>
    <mergeCell ref="B66:C66"/>
    <mergeCell ref="B82:C82"/>
    <mergeCell ref="B124:C124"/>
    <mergeCell ref="B137:C137"/>
    <mergeCell ref="B218:C218"/>
    <mergeCell ref="A161:C161"/>
    <mergeCell ref="B231:C231"/>
    <mergeCell ref="B239:C239"/>
    <mergeCell ref="B251:C251"/>
    <mergeCell ref="B260:C260"/>
    <mergeCell ref="B267:C267"/>
    <mergeCell ref="B282:C282"/>
    <mergeCell ref="B293:C293"/>
    <mergeCell ref="B302:C302"/>
    <mergeCell ref="B313:C313"/>
    <mergeCell ref="B320:C320"/>
    <mergeCell ref="B332:C332"/>
    <mergeCell ref="B340:C340"/>
    <mergeCell ref="B346:C346"/>
    <mergeCell ref="B356:C356"/>
    <mergeCell ref="A360:C360"/>
    <mergeCell ref="B362:C362"/>
    <mergeCell ref="B378:C378"/>
    <mergeCell ref="B385:C385"/>
    <mergeCell ref="B391:C391"/>
    <mergeCell ref="B402:C402"/>
    <mergeCell ref="A406:C406"/>
    <mergeCell ref="B408:C408"/>
    <mergeCell ref="B421:C421"/>
    <mergeCell ref="B432:C432"/>
    <mergeCell ref="B437:C437"/>
    <mergeCell ref="B449:C449"/>
    <mergeCell ref="B458:C458"/>
    <mergeCell ref="B481:C481"/>
    <mergeCell ref="B492:C492"/>
    <mergeCell ref="B506:C506"/>
    <mergeCell ref="B514:C514"/>
    <mergeCell ref="B523:C523"/>
    <mergeCell ref="B539:C539"/>
    <mergeCell ref="A552:C552"/>
    <mergeCell ref="B553:C553"/>
    <mergeCell ref="A574:C574"/>
    <mergeCell ref="B576:C576"/>
    <mergeCell ref="B583:C583"/>
    <mergeCell ref="B607:C607"/>
    <mergeCell ref="B614:C614"/>
    <mergeCell ref="B701:C701"/>
    <mergeCell ref="B716:C716"/>
    <mergeCell ref="B727:C727"/>
    <mergeCell ref="B625:C625"/>
    <mergeCell ref="B646:C646"/>
    <mergeCell ref="B660:C660"/>
    <mergeCell ref="B673:C673"/>
    <mergeCell ref="B688:C688"/>
  </mergeCells>
  <pageMargins left="0.7" right="0.7" top="0.75" bottom="0.75" header="0.3" footer="0.3"/>
  <pageSetup orientation="portrait" horizontalDpi="4294967293" verticalDpi="4294967293"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89D75-51BA-4E40-A2F4-AB1B393C751A}">
  <dimension ref="A2:G20"/>
  <sheetViews>
    <sheetView showGridLines="0" zoomScale="130" zoomScaleNormal="130" workbookViewId="0">
      <selection activeCell="B17" sqref="B17"/>
    </sheetView>
  </sheetViews>
  <sheetFormatPr baseColWidth="10" defaultRowHeight="12.75" x14ac:dyDescent="0.2"/>
  <cols>
    <col min="2" max="2" width="38" customWidth="1"/>
    <col min="3" max="3" width="18.140625" customWidth="1"/>
    <col min="4" max="4" width="16.28515625" customWidth="1"/>
    <col min="6" max="6" width="11.5703125" customWidth="1"/>
  </cols>
  <sheetData>
    <row r="2" spans="1:7" x14ac:dyDescent="0.2">
      <c r="F2" t="s">
        <v>2185</v>
      </c>
    </row>
    <row r="3" spans="1:7" x14ac:dyDescent="0.2">
      <c r="A3" s="208">
        <v>111010</v>
      </c>
      <c r="B3" s="208" t="s">
        <v>239</v>
      </c>
      <c r="C3" s="209">
        <v>60807000</v>
      </c>
      <c r="D3" t="s">
        <v>2184</v>
      </c>
      <c r="F3" s="1170">
        <f>+C3/G3</f>
        <v>12641.262317575154</v>
      </c>
      <c r="G3">
        <v>4810.2</v>
      </c>
    </row>
    <row r="5" spans="1:7" x14ac:dyDescent="0.2">
      <c r="B5" t="s">
        <v>2186</v>
      </c>
      <c r="C5" s="1171">
        <f>+F3</f>
        <v>12641.262317575154</v>
      </c>
      <c r="D5" t="s">
        <v>2</v>
      </c>
      <c r="E5" s="1170">
        <v>4050</v>
      </c>
    </row>
    <row r="6" spans="1:7" x14ac:dyDescent="0.2">
      <c r="B6" t="s">
        <v>1245</v>
      </c>
      <c r="C6" s="1170">
        <f>+C5*E5</f>
        <v>51197112.386179373</v>
      </c>
    </row>
    <row r="9" spans="1:7" x14ac:dyDescent="0.2">
      <c r="B9" t="s">
        <v>2187</v>
      </c>
      <c r="C9" s="1171">
        <f>+C6</f>
        <v>51197112.386179373</v>
      </c>
    </row>
    <row r="12" spans="1:7" x14ac:dyDescent="0.2">
      <c r="A12" t="s">
        <v>2188</v>
      </c>
    </row>
    <row r="13" spans="1:7" x14ac:dyDescent="0.2">
      <c r="C13" s="15" t="s">
        <v>2149</v>
      </c>
      <c r="D13" s="15" t="s">
        <v>2150</v>
      </c>
    </row>
    <row r="14" spans="1:7" x14ac:dyDescent="0.2">
      <c r="B14" t="s">
        <v>1243</v>
      </c>
      <c r="C14" s="1171">
        <f>+C5</f>
        <v>12641.262317575154</v>
      </c>
      <c r="D14" s="1171">
        <f>+C5</f>
        <v>12641.262317575154</v>
      </c>
    </row>
    <row r="15" spans="1:7" x14ac:dyDescent="0.2">
      <c r="B15" s="190" t="s">
        <v>2189</v>
      </c>
      <c r="C15" s="1170">
        <v>4810.2</v>
      </c>
      <c r="D15" s="1170">
        <v>3981.16</v>
      </c>
    </row>
    <row r="16" spans="1:7" x14ac:dyDescent="0.2">
      <c r="C16" s="1171">
        <f>+C14*C15</f>
        <v>60807000.000000007</v>
      </c>
      <c r="D16" s="1171">
        <f>+D14*D15</f>
        <v>50326887.888237499</v>
      </c>
    </row>
    <row r="18" spans="2:4" x14ac:dyDescent="0.2">
      <c r="B18" s="122" t="s">
        <v>2190</v>
      </c>
      <c r="C18" s="1172">
        <f>+C16-D16</f>
        <v>10480112.111762509</v>
      </c>
      <c r="D18" s="122" t="s">
        <v>2191</v>
      </c>
    </row>
    <row r="20" spans="2:4" x14ac:dyDescent="0.2">
      <c r="B20" s="190" t="s">
        <v>2192</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C92"/>
  <sheetViews>
    <sheetView showGridLines="0" zoomScale="115" zoomScaleNormal="115" workbookViewId="0">
      <pane ySplit="1" topLeftCell="A67" activePane="bottomLeft" state="frozen"/>
      <selection pane="bottomLeft" activeCell="E82" sqref="E82"/>
    </sheetView>
  </sheetViews>
  <sheetFormatPr baseColWidth="10" defaultRowHeight="12.75" outlineLevelRow="1" x14ac:dyDescent="0.2"/>
  <cols>
    <col min="1" max="1" width="11.42578125" style="190"/>
    <col min="2" max="2" width="34.140625" style="190" customWidth="1"/>
    <col min="3" max="3" width="19.28515625" style="229" customWidth="1"/>
    <col min="4" max="4" width="21.7109375" style="229" customWidth="1"/>
    <col min="5" max="5" width="20.28515625" style="229" customWidth="1"/>
    <col min="6" max="9" width="20.140625" style="190" customWidth="1"/>
    <col min="10" max="10" width="23.140625" style="190" customWidth="1"/>
    <col min="11" max="11" width="16.140625" style="190" customWidth="1"/>
    <col min="12" max="12" width="19.28515625" style="190" customWidth="1"/>
    <col min="13" max="13" width="23.28515625" style="190" customWidth="1"/>
    <col min="14" max="14" width="18.140625" style="190" customWidth="1"/>
    <col min="15" max="15" width="11.42578125" style="190"/>
    <col min="16" max="16" width="18" style="190" customWidth="1"/>
    <col min="17" max="16384" width="11.42578125" style="190"/>
  </cols>
  <sheetData>
    <row r="1" spans="1:23" s="189" customFormat="1" x14ac:dyDescent="0.2">
      <c r="A1" s="187"/>
      <c r="B1" s="188"/>
      <c r="C1" s="187"/>
    </row>
    <row r="3" spans="1:23" x14ac:dyDescent="0.2">
      <c r="B3" s="15" t="s">
        <v>78</v>
      </c>
      <c r="S3" s="190" t="s">
        <v>199</v>
      </c>
      <c r="T3" s="190" t="s">
        <v>200</v>
      </c>
      <c r="V3" s="190" t="s">
        <v>204</v>
      </c>
      <c r="W3" s="190" t="s">
        <v>205</v>
      </c>
    </row>
    <row r="4" spans="1:23" x14ac:dyDescent="0.2">
      <c r="B4" s="15"/>
    </row>
    <row r="5" spans="1:23" s="192" customFormat="1" x14ac:dyDescent="0.2">
      <c r="A5" s="191" t="s">
        <v>2156</v>
      </c>
      <c r="C5" s="193"/>
      <c r="D5" s="193"/>
      <c r="E5" s="193"/>
    </row>
    <row r="6" spans="1:23" s="192" customFormat="1" x14ac:dyDescent="0.2">
      <c r="C6" s="193"/>
      <c r="D6" s="193"/>
      <c r="E6" s="193"/>
    </row>
    <row r="7" spans="1:23" hidden="1" outlineLevel="1" x14ac:dyDescent="0.2">
      <c r="A7" s="15" t="s">
        <v>96</v>
      </c>
    </row>
    <row r="8" spans="1:23" hidden="1" outlineLevel="1" x14ac:dyDescent="0.2">
      <c r="A8" s="25" t="s">
        <v>1013</v>
      </c>
      <c r="B8" s="262" t="s">
        <v>1</v>
      </c>
      <c r="C8" s="262" t="s">
        <v>136</v>
      </c>
      <c r="D8" s="262" t="s">
        <v>81</v>
      </c>
      <c r="E8" s="263" t="s">
        <v>1048</v>
      </c>
      <c r="F8" s="262" t="s">
        <v>990</v>
      </c>
      <c r="G8" s="262" t="s">
        <v>119</v>
      </c>
      <c r="T8" s="190" t="s">
        <v>201</v>
      </c>
      <c r="V8" s="190" t="s">
        <v>202</v>
      </c>
    </row>
    <row r="9" spans="1:23" hidden="1" outlineLevel="1" x14ac:dyDescent="0.2">
      <c r="A9" s="195">
        <v>120550</v>
      </c>
      <c r="B9" s="195" t="s">
        <v>155</v>
      </c>
      <c r="C9" s="196">
        <v>261086</v>
      </c>
      <c r="D9" s="196">
        <v>325052000</v>
      </c>
      <c r="E9" s="196">
        <f>+C9*1720</f>
        <v>449067920</v>
      </c>
      <c r="F9" s="196">
        <f>+D9</f>
        <v>325052000</v>
      </c>
      <c r="G9" s="195" t="s">
        <v>1049</v>
      </c>
      <c r="L9" s="264"/>
      <c r="V9" s="190" t="s">
        <v>403</v>
      </c>
    </row>
    <row r="10" spans="1:23" hidden="1" outlineLevel="1" x14ac:dyDescent="0.2">
      <c r="A10" s="195">
        <v>120530</v>
      </c>
      <c r="B10" s="195" t="s">
        <v>194</v>
      </c>
      <c r="C10" s="196">
        <f>+D10/1000</f>
        <v>1806700</v>
      </c>
      <c r="D10" s="196">
        <v>1806700000</v>
      </c>
      <c r="E10" s="196"/>
      <c r="F10" s="196">
        <f>+D10</f>
        <v>1806700000</v>
      </c>
      <c r="G10" s="195" t="s">
        <v>81</v>
      </c>
      <c r="V10" s="190" t="s">
        <v>203</v>
      </c>
    </row>
    <row r="11" spans="1:23" hidden="1" outlineLevel="1" x14ac:dyDescent="0.2">
      <c r="A11" s="194"/>
      <c r="B11" s="265" t="s">
        <v>45</v>
      </c>
      <c r="D11" s="266">
        <f>SUM(D9:D10)</f>
        <v>2131752000</v>
      </c>
      <c r="E11" s="266">
        <f>SUM(E9:E10)</f>
        <v>449067920</v>
      </c>
      <c r="F11" s="266">
        <f>SUM(F9:F10)</f>
        <v>2131752000</v>
      </c>
    </row>
    <row r="12" spans="1:23" hidden="1" outlineLevel="1" x14ac:dyDescent="0.2">
      <c r="B12" s="267"/>
      <c r="E12" s="268"/>
      <c r="F12" s="268"/>
      <c r="H12" s="229"/>
    </row>
    <row r="13" spans="1:23" hidden="1" outlineLevel="1" x14ac:dyDescent="0.2"/>
    <row r="14" spans="1:23" hidden="1" outlineLevel="1" x14ac:dyDescent="0.2"/>
    <row r="15" spans="1:23" hidden="1" outlineLevel="1" x14ac:dyDescent="0.2">
      <c r="B15" s="15"/>
      <c r="J15" s="269"/>
    </row>
    <row r="16" spans="1:23" hidden="1" outlineLevel="1" x14ac:dyDescent="0.2">
      <c r="A16" s="262"/>
      <c r="B16" s="262" t="s">
        <v>1</v>
      </c>
      <c r="C16" s="262" t="s">
        <v>1009</v>
      </c>
      <c r="D16" s="262" t="s">
        <v>20</v>
      </c>
      <c r="E16" s="262" t="s">
        <v>177</v>
      </c>
      <c r="F16" s="262" t="s">
        <v>35</v>
      </c>
    </row>
    <row r="17" spans="1:13" hidden="1" outlineLevel="1" x14ac:dyDescent="0.2">
      <c r="A17" s="195">
        <v>120550</v>
      </c>
      <c r="B17" s="195" t="s">
        <v>155</v>
      </c>
      <c r="C17" s="196">
        <f>+D9</f>
        <v>325052000</v>
      </c>
      <c r="D17" s="196"/>
      <c r="E17" s="196">
        <f>+C17+D17</f>
        <v>325052000</v>
      </c>
      <c r="F17" s="196">
        <f>+E17</f>
        <v>325052000</v>
      </c>
      <c r="G17" s="190" t="s">
        <v>238</v>
      </c>
    </row>
    <row r="18" spans="1:13" hidden="1" outlineLevel="1" x14ac:dyDescent="0.2">
      <c r="A18" s="195">
        <v>120551</v>
      </c>
      <c r="B18" s="195" t="s">
        <v>1050</v>
      </c>
      <c r="C18" s="196"/>
      <c r="D18" s="196">
        <f>+E9-D9</f>
        <v>124015920</v>
      </c>
      <c r="E18" s="196">
        <f>+C18+D18</f>
        <v>124015920</v>
      </c>
      <c r="F18" s="196">
        <v>0</v>
      </c>
    </row>
    <row r="19" spans="1:13" hidden="1" outlineLevel="1" x14ac:dyDescent="0.2">
      <c r="A19" s="195">
        <v>120530</v>
      </c>
      <c r="B19" s="195" t="s">
        <v>194</v>
      </c>
      <c r="C19" s="196">
        <f>+D10</f>
        <v>1806700000</v>
      </c>
      <c r="D19" s="196">
        <f>+E19-C19</f>
        <v>0</v>
      </c>
      <c r="E19" s="196">
        <f>+D10</f>
        <v>1806700000</v>
      </c>
      <c r="F19" s="196">
        <f>+D10</f>
        <v>1806700000</v>
      </c>
    </row>
    <row r="20" spans="1:13" hidden="1" outlineLevel="1" x14ac:dyDescent="0.2">
      <c r="A20" s="195"/>
      <c r="B20" s="265" t="s">
        <v>197</v>
      </c>
      <c r="C20" s="266">
        <f>SUM(C17:C19)</f>
        <v>2131752000</v>
      </c>
      <c r="D20" s="266">
        <f>SUM(D17:D19)</f>
        <v>124015920</v>
      </c>
      <c r="E20" s="266">
        <f>SUM(E17:E19)</f>
        <v>2255767920</v>
      </c>
      <c r="F20" s="266">
        <f>SUM(F17:F19)</f>
        <v>2131752000</v>
      </c>
    </row>
    <row r="21" spans="1:13" collapsed="1" x14ac:dyDescent="0.2">
      <c r="M21" s="197"/>
    </row>
    <row r="22" spans="1:13" x14ac:dyDescent="0.2">
      <c r="C22" s="270"/>
    </row>
    <row r="23" spans="1:13" s="192" customFormat="1" x14ac:dyDescent="0.2">
      <c r="A23" s="191" t="s">
        <v>2157</v>
      </c>
      <c r="C23" s="193"/>
      <c r="D23" s="193"/>
      <c r="E23" s="193"/>
    </row>
    <row r="24" spans="1:13" s="192" customFormat="1" x14ac:dyDescent="0.2">
      <c r="C24" s="193"/>
      <c r="D24" s="193"/>
      <c r="E24" s="193"/>
    </row>
    <row r="25" spans="1:13" hidden="1" outlineLevel="1" x14ac:dyDescent="0.2"/>
    <row r="26" spans="1:13" hidden="1" outlineLevel="1" x14ac:dyDescent="0.2">
      <c r="A26" s="15" t="s">
        <v>96</v>
      </c>
    </row>
    <row r="27" spans="1:13" hidden="1" outlineLevel="1" x14ac:dyDescent="0.2">
      <c r="A27" s="25" t="s">
        <v>1013</v>
      </c>
      <c r="B27" s="262" t="s">
        <v>1</v>
      </c>
      <c r="C27" s="262" t="s">
        <v>136</v>
      </c>
      <c r="D27" s="262" t="s">
        <v>991</v>
      </c>
      <c r="E27" s="263" t="s">
        <v>46</v>
      </c>
      <c r="F27" s="262" t="s">
        <v>119</v>
      </c>
    </row>
    <row r="28" spans="1:13" hidden="1" outlineLevel="1" x14ac:dyDescent="0.2">
      <c r="A28" s="195">
        <v>120550</v>
      </c>
      <c r="B28" s="195" t="s">
        <v>155</v>
      </c>
      <c r="C28" s="196">
        <v>261086</v>
      </c>
      <c r="D28" s="196">
        <v>325052000</v>
      </c>
      <c r="E28" s="196">
        <f>+C28*1780</f>
        <v>464733080</v>
      </c>
      <c r="F28" s="195" t="s">
        <v>1049</v>
      </c>
      <c r="L28" s="264"/>
    </row>
    <row r="29" spans="1:13" hidden="1" outlineLevel="1" x14ac:dyDescent="0.2">
      <c r="A29" s="195">
        <v>120520</v>
      </c>
      <c r="B29" s="195" t="s">
        <v>287</v>
      </c>
      <c r="C29" s="196">
        <v>464286</v>
      </c>
      <c r="D29" s="196">
        <v>650000000</v>
      </c>
      <c r="E29" s="196">
        <f>+C29*2150</f>
        <v>998214900</v>
      </c>
      <c r="F29" s="195" t="s">
        <v>1049</v>
      </c>
      <c r="L29" s="264"/>
    </row>
    <row r="30" spans="1:13" hidden="1" outlineLevel="1" x14ac:dyDescent="0.2">
      <c r="A30" s="195">
        <v>120530</v>
      </c>
      <c r="B30" s="195" t="s">
        <v>999</v>
      </c>
      <c r="C30" s="196">
        <f>+D30/1000</f>
        <v>1806700</v>
      </c>
      <c r="D30" s="196">
        <v>1806700000</v>
      </c>
      <c r="E30" s="196"/>
      <c r="F30" s="195" t="s">
        <v>81</v>
      </c>
    </row>
    <row r="31" spans="1:13" hidden="1" outlineLevel="1" x14ac:dyDescent="0.2">
      <c r="A31" s="194">
        <v>1205</v>
      </c>
      <c r="B31" s="265" t="s">
        <v>45</v>
      </c>
      <c r="D31" s="266">
        <f>SUM(D28:D30)</f>
        <v>2781752000</v>
      </c>
      <c r="E31" s="266">
        <f>SUM(E28:E30)</f>
        <v>1462947980</v>
      </c>
    </row>
    <row r="32" spans="1:13" hidden="1" outlineLevel="1" x14ac:dyDescent="0.2">
      <c r="B32" s="267"/>
      <c r="C32" s="268"/>
      <c r="F32" s="229"/>
      <c r="G32" s="229"/>
      <c r="H32" s="229"/>
    </row>
    <row r="33" spans="1:11" hidden="1" outlineLevel="1" x14ac:dyDescent="0.2">
      <c r="B33" s="267"/>
      <c r="C33" s="268"/>
      <c r="F33" s="229"/>
      <c r="G33" s="229"/>
      <c r="H33" s="229"/>
      <c r="I33" s="229"/>
      <c r="J33" s="229"/>
      <c r="K33" s="229"/>
    </row>
    <row r="34" spans="1:11" hidden="1" outlineLevel="1" x14ac:dyDescent="0.2">
      <c r="C34" s="229" t="s">
        <v>0</v>
      </c>
    </row>
    <row r="35" spans="1:11" hidden="1" outlineLevel="1" x14ac:dyDescent="0.2"/>
    <row r="36" spans="1:11" hidden="1" outlineLevel="1" x14ac:dyDescent="0.2">
      <c r="B36" s="15" t="s">
        <v>97</v>
      </c>
      <c r="J36" s="269"/>
    </row>
    <row r="37" spans="1:11" hidden="1" outlineLevel="1" x14ac:dyDescent="0.2">
      <c r="A37" s="262"/>
      <c r="B37" s="262" t="s">
        <v>1</v>
      </c>
      <c r="C37" s="262" t="s">
        <v>1009</v>
      </c>
      <c r="D37" s="262" t="s">
        <v>20</v>
      </c>
      <c r="E37" s="262" t="s">
        <v>177</v>
      </c>
      <c r="F37" s="262" t="s">
        <v>35</v>
      </c>
    </row>
    <row r="38" spans="1:11" hidden="1" outlineLevel="1" x14ac:dyDescent="0.2">
      <c r="A38" s="195">
        <v>120550</v>
      </c>
      <c r="B38" s="195" t="str">
        <f>+B28</f>
        <v>Grupo Aval- preferencial (0.0094%)</v>
      </c>
      <c r="C38" s="196">
        <f>+D28</f>
        <v>325052000</v>
      </c>
      <c r="D38" s="196"/>
      <c r="E38" s="196">
        <f>+C38+D38</f>
        <v>325052000</v>
      </c>
      <c r="F38" s="196">
        <f>+E38</f>
        <v>325052000</v>
      </c>
      <c r="G38" s="190" t="s">
        <v>238</v>
      </c>
    </row>
    <row r="39" spans="1:11" hidden="1" outlineLevel="1" x14ac:dyDescent="0.2">
      <c r="A39" s="195">
        <v>120551</v>
      </c>
      <c r="B39" s="195" t="s">
        <v>1050</v>
      </c>
      <c r="C39" s="196"/>
      <c r="D39" s="196">
        <f>+E28-D28</f>
        <v>139681080</v>
      </c>
      <c r="E39" s="196">
        <f t="shared" ref="E39:E42" si="0">+C39+D39</f>
        <v>139681080</v>
      </c>
      <c r="F39" s="196"/>
    </row>
    <row r="40" spans="1:11" hidden="1" outlineLevel="1" x14ac:dyDescent="0.2">
      <c r="A40" s="195">
        <v>120520</v>
      </c>
      <c r="B40" s="195" t="str">
        <f>+B29</f>
        <v>Ecopetrol SA (0,000005%)</v>
      </c>
      <c r="C40" s="196">
        <f>+D29</f>
        <v>650000000</v>
      </c>
      <c r="D40" s="196"/>
      <c r="E40" s="196">
        <f t="shared" si="0"/>
        <v>650000000</v>
      </c>
      <c r="F40" s="196">
        <f>+E40</f>
        <v>650000000</v>
      </c>
      <c r="G40" s="190" t="s">
        <v>238</v>
      </c>
    </row>
    <row r="41" spans="1:11" hidden="1" outlineLevel="1" x14ac:dyDescent="0.2">
      <c r="A41" s="195">
        <v>120521</v>
      </c>
      <c r="B41" s="195" t="s">
        <v>1051</v>
      </c>
      <c r="C41" s="196"/>
      <c r="D41" s="196">
        <f>+E29-D29</f>
        <v>348214900</v>
      </c>
      <c r="E41" s="196">
        <f t="shared" si="0"/>
        <v>348214900</v>
      </c>
      <c r="F41" s="196"/>
    </row>
    <row r="42" spans="1:11" hidden="1" outlineLevel="1" x14ac:dyDescent="0.2">
      <c r="A42" s="195">
        <v>120530</v>
      </c>
      <c r="B42" s="195" t="str">
        <f>+B30</f>
        <v>Construcciones Lvg SAS (10%)</v>
      </c>
      <c r="C42" s="196">
        <f>+D30</f>
        <v>1806700000</v>
      </c>
      <c r="D42" s="196"/>
      <c r="E42" s="196">
        <f t="shared" si="0"/>
        <v>1806700000</v>
      </c>
      <c r="F42" s="196">
        <f>+D30</f>
        <v>1806700000</v>
      </c>
    </row>
    <row r="43" spans="1:11" hidden="1" outlineLevel="1" x14ac:dyDescent="0.2">
      <c r="A43" s="195"/>
      <c r="B43" s="265" t="s">
        <v>197</v>
      </c>
      <c r="C43" s="266">
        <f>SUM(C38:C42)</f>
        <v>2781752000</v>
      </c>
      <c r="D43" s="266">
        <f>SUM(D38:D42)</f>
        <v>487895980</v>
      </c>
      <c r="E43" s="266">
        <f>SUM(E38:E42)</f>
        <v>3269647980</v>
      </c>
      <c r="F43" s="266">
        <f>SUM(F38:F42)</f>
        <v>2781752000</v>
      </c>
    </row>
    <row r="44" spans="1:11" hidden="1" outlineLevel="1" x14ac:dyDescent="0.2"/>
    <row r="45" spans="1:11" hidden="1" outlineLevel="1" x14ac:dyDescent="0.2">
      <c r="A45" s="15" t="s">
        <v>2160</v>
      </c>
    </row>
    <row r="46" spans="1:11" hidden="1" outlineLevel="1" x14ac:dyDescent="0.2">
      <c r="A46" s="190" t="s">
        <v>987</v>
      </c>
      <c r="E46" s="407">
        <v>650000000</v>
      </c>
    </row>
    <row r="47" spans="1:11" hidden="1" outlineLevel="1" x14ac:dyDescent="0.2">
      <c r="A47" s="190" t="s">
        <v>988</v>
      </c>
      <c r="E47" s="407"/>
    </row>
    <row r="48" spans="1:11" hidden="1" outlineLevel="1" x14ac:dyDescent="0.2">
      <c r="C48" s="229" t="s">
        <v>155</v>
      </c>
      <c r="E48" s="407">
        <v>15000000</v>
      </c>
    </row>
    <row r="49" spans="1:29" hidden="1" outlineLevel="1" x14ac:dyDescent="0.2">
      <c r="C49" s="229" t="s">
        <v>287</v>
      </c>
      <c r="E49" s="407">
        <v>0</v>
      </c>
    </row>
    <row r="50" spans="1:29" hidden="1" outlineLevel="1" x14ac:dyDescent="0.2">
      <c r="C50" s="229" t="s">
        <v>194</v>
      </c>
      <c r="E50" s="407">
        <v>0</v>
      </c>
    </row>
    <row r="51" spans="1:29" hidden="1" outlineLevel="1" x14ac:dyDescent="0.2">
      <c r="A51" s="190" t="s">
        <v>989</v>
      </c>
      <c r="E51" s="407"/>
    </row>
    <row r="52" spans="1:29" hidden="1" outlineLevel="1" x14ac:dyDescent="0.2">
      <c r="C52" s="229" t="s">
        <v>155</v>
      </c>
      <c r="E52" s="407">
        <f>+E39-E18</f>
        <v>15665160</v>
      </c>
    </row>
    <row r="53" spans="1:29" hidden="1" outlineLevel="1" x14ac:dyDescent="0.2">
      <c r="C53" s="229" t="s">
        <v>287</v>
      </c>
      <c r="E53" s="407">
        <f>+E41</f>
        <v>348214900</v>
      </c>
    </row>
    <row r="54" spans="1:29" hidden="1" outlineLevel="1" x14ac:dyDescent="0.2">
      <c r="C54" s="229" t="s">
        <v>194</v>
      </c>
      <c r="E54" s="407">
        <v>0</v>
      </c>
    </row>
    <row r="55" spans="1:29" collapsed="1" x14ac:dyDescent="0.2"/>
    <row r="59" spans="1:29" x14ac:dyDescent="0.2">
      <c r="A59" s="191" t="s">
        <v>2158</v>
      </c>
      <c r="B59" s="192"/>
      <c r="C59" s="193"/>
      <c r="D59" s="193"/>
      <c r="E59" s="193"/>
      <c r="F59" s="192"/>
      <c r="G59" s="192"/>
      <c r="H59" s="192"/>
      <c r="I59" s="192"/>
      <c r="J59" s="192"/>
      <c r="K59" s="192"/>
      <c r="L59" s="192"/>
      <c r="M59" s="192"/>
      <c r="N59" s="192"/>
      <c r="O59" s="192"/>
      <c r="P59" s="192"/>
      <c r="Q59" s="192"/>
      <c r="R59" s="192"/>
      <c r="S59" s="192"/>
      <c r="T59" s="192"/>
      <c r="U59" s="192"/>
      <c r="V59" s="192"/>
      <c r="W59" s="192"/>
      <c r="X59" s="192"/>
      <c r="Y59" s="192"/>
      <c r="Z59" s="192"/>
      <c r="AA59" s="192"/>
      <c r="AB59" s="192"/>
      <c r="AC59" s="192"/>
    </row>
    <row r="60" spans="1:29" x14ac:dyDescent="0.2">
      <c r="A60" s="192"/>
      <c r="B60" s="192"/>
      <c r="C60" s="193"/>
      <c r="D60" s="193"/>
      <c r="E60" s="193"/>
      <c r="F60" s="192"/>
      <c r="G60" s="192"/>
      <c r="H60" s="192"/>
      <c r="I60" s="192"/>
      <c r="J60" s="192"/>
      <c r="K60" s="192"/>
      <c r="L60" s="192"/>
      <c r="M60" s="192"/>
      <c r="N60" s="192"/>
      <c r="O60" s="192"/>
      <c r="P60" s="192"/>
      <c r="Q60" s="192"/>
      <c r="R60" s="192"/>
      <c r="S60" s="192"/>
      <c r="T60" s="192"/>
      <c r="U60" s="192"/>
      <c r="V60" s="192"/>
      <c r="W60" s="192"/>
      <c r="X60" s="192"/>
      <c r="Y60" s="192"/>
      <c r="Z60" s="192"/>
      <c r="AA60" s="192"/>
      <c r="AB60" s="192"/>
      <c r="AC60" s="192"/>
    </row>
    <row r="61" spans="1:29" outlineLevel="1" x14ac:dyDescent="0.2"/>
    <row r="62" spans="1:29" outlineLevel="1" x14ac:dyDescent="0.2">
      <c r="A62" s="15" t="s">
        <v>96</v>
      </c>
    </row>
    <row r="63" spans="1:29" outlineLevel="1" x14ac:dyDescent="0.2">
      <c r="A63" s="25" t="s">
        <v>1013</v>
      </c>
      <c r="B63" s="262" t="s">
        <v>1</v>
      </c>
      <c r="C63" s="262" t="s">
        <v>136</v>
      </c>
      <c r="D63" s="262" t="s">
        <v>81</v>
      </c>
      <c r="E63" s="262" t="s">
        <v>990</v>
      </c>
      <c r="F63" s="263" t="s">
        <v>234</v>
      </c>
      <c r="G63" s="262" t="s">
        <v>119</v>
      </c>
    </row>
    <row r="64" spans="1:29" outlineLevel="1" x14ac:dyDescent="0.2">
      <c r="A64" s="195">
        <v>120550</v>
      </c>
      <c r="B64" s="195" t="s">
        <v>155</v>
      </c>
      <c r="C64" s="196">
        <v>261086</v>
      </c>
      <c r="D64" s="196">
        <v>325052000</v>
      </c>
      <c r="E64" s="196">
        <f>+D64</f>
        <v>325052000</v>
      </c>
      <c r="F64" s="196">
        <f>+C64*1695</f>
        <v>442540770</v>
      </c>
      <c r="G64" s="195" t="s">
        <v>198</v>
      </c>
      <c r="L64" s="264"/>
    </row>
    <row r="65" spans="1:12" outlineLevel="1" x14ac:dyDescent="0.2">
      <c r="A65" s="195">
        <v>120520</v>
      </c>
      <c r="B65" s="195" t="s">
        <v>287</v>
      </c>
      <c r="C65" s="196">
        <v>464286</v>
      </c>
      <c r="D65" s="196">
        <v>650000000</v>
      </c>
      <c r="E65" s="196">
        <f t="shared" ref="E65:E66" si="1">+D65</f>
        <v>650000000</v>
      </c>
      <c r="F65" s="196">
        <f>+C65*1920</f>
        <v>891429120</v>
      </c>
      <c r="G65" s="195" t="s">
        <v>198</v>
      </c>
      <c r="L65" s="264"/>
    </row>
    <row r="66" spans="1:12" outlineLevel="1" x14ac:dyDescent="0.2">
      <c r="A66" s="195">
        <v>120530</v>
      </c>
      <c r="B66" s="195" t="s">
        <v>999</v>
      </c>
      <c r="C66" s="196">
        <f>+D66/1000</f>
        <v>1806700</v>
      </c>
      <c r="D66" s="196">
        <f>1750000000+56700000</f>
        <v>1806700000</v>
      </c>
      <c r="E66" s="196">
        <f t="shared" si="1"/>
        <v>1806700000</v>
      </c>
      <c r="F66" s="196"/>
      <c r="G66" s="195" t="s">
        <v>1014</v>
      </c>
      <c r="J66" s="190" t="s">
        <v>0</v>
      </c>
    </row>
    <row r="67" spans="1:12" outlineLevel="1" x14ac:dyDescent="0.2">
      <c r="A67" s="194">
        <v>1205</v>
      </c>
      <c r="B67" s="265" t="s">
        <v>45</v>
      </c>
      <c r="D67" s="266">
        <f>SUM(D64:D66)</f>
        <v>2781752000</v>
      </c>
      <c r="E67" s="266">
        <f>SUM(E64:E66)</f>
        <v>2781752000</v>
      </c>
      <c r="F67" s="266">
        <f>SUM(F64:F66)</f>
        <v>1333969890</v>
      </c>
    </row>
    <row r="68" spans="1:12" outlineLevel="1" x14ac:dyDescent="0.2">
      <c r="B68" s="267"/>
      <c r="D68" s="268"/>
      <c r="E68" s="268"/>
      <c r="F68" s="268"/>
      <c r="G68" s="229"/>
      <c r="H68" s="229"/>
    </row>
    <row r="69" spans="1:12" outlineLevel="1" x14ac:dyDescent="0.2">
      <c r="B69" s="267"/>
      <c r="C69" s="268"/>
      <c r="D69" s="268"/>
      <c r="E69" s="268"/>
      <c r="F69" s="229"/>
      <c r="G69" s="229"/>
      <c r="H69" s="229"/>
      <c r="I69" s="229"/>
      <c r="J69" s="229"/>
      <c r="K69" s="229"/>
    </row>
    <row r="70" spans="1:12" outlineLevel="1" x14ac:dyDescent="0.2">
      <c r="C70" s="229" t="s">
        <v>0</v>
      </c>
    </row>
    <row r="71" spans="1:12" outlineLevel="1" x14ac:dyDescent="0.2"/>
    <row r="72" spans="1:12" outlineLevel="1" x14ac:dyDescent="0.2">
      <c r="B72" s="15" t="s">
        <v>97</v>
      </c>
      <c r="J72" s="269"/>
    </row>
    <row r="73" spans="1:12" outlineLevel="1" x14ac:dyDescent="0.2">
      <c r="A73" s="262"/>
      <c r="B73" s="262" t="s">
        <v>1</v>
      </c>
      <c r="C73" s="262" t="str">
        <f>+D63</f>
        <v>Costo</v>
      </c>
      <c r="D73" s="262" t="s">
        <v>20</v>
      </c>
      <c r="E73" s="262" t="s">
        <v>177</v>
      </c>
      <c r="F73" s="262" t="s">
        <v>35</v>
      </c>
    </row>
    <row r="74" spans="1:12" outlineLevel="1" x14ac:dyDescent="0.2">
      <c r="A74" s="195">
        <v>120550</v>
      </c>
      <c r="B74" s="195" t="str">
        <f>+B64</f>
        <v>Grupo Aval- preferencial (0.0094%)</v>
      </c>
      <c r="C74" s="196">
        <f>+D64</f>
        <v>325052000</v>
      </c>
      <c r="D74" s="196"/>
      <c r="E74" s="196">
        <f>+C74+D74</f>
        <v>325052000</v>
      </c>
      <c r="F74" s="196">
        <f>+E74</f>
        <v>325052000</v>
      </c>
      <c r="G74" s="190" t="s">
        <v>238</v>
      </c>
    </row>
    <row r="75" spans="1:12" outlineLevel="1" x14ac:dyDescent="0.2">
      <c r="A75" s="195">
        <v>120551</v>
      </c>
      <c r="B75" s="195" t="s">
        <v>1050</v>
      </c>
      <c r="C75" s="196"/>
      <c r="D75" s="196"/>
      <c r="E75" s="196">
        <f t="shared" ref="E75:E78" si="2">+C75+D75</f>
        <v>0</v>
      </c>
      <c r="F75" s="196"/>
    </row>
    <row r="76" spans="1:12" outlineLevel="1" x14ac:dyDescent="0.2">
      <c r="A76" s="195">
        <v>120520</v>
      </c>
      <c r="B76" s="195" t="str">
        <f>+B65</f>
        <v>Ecopetrol SA (0,000005%)</v>
      </c>
      <c r="C76" s="196">
        <f>+D65</f>
        <v>650000000</v>
      </c>
      <c r="D76" s="196"/>
      <c r="E76" s="196">
        <f t="shared" si="2"/>
        <v>650000000</v>
      </c>
      <c r="F76" s="196">
        <f>+E76</f>
        <v>650000000</v>
      </c>
      <c r="G76" s="190" t="s">
        <v>238</v>
      </c>
    </row>
    <row r="77" spans="1:12" outlineLevel="1" x14ac:dyDescent="0.2">
      <c r="A77" s="195">
        <v>120521</v>
      </c>
      <c r="B77" s="195" t="s">
        <v>1051</v>
      </c>
      <c r="C77" s="196"/>
      <c r="D77" s="196"/>
      <c r="E77" s="196">
        <f t="shared" si="2"/>
        <v>0</v>
      </c>
      <c r="F77" s="196"/>
    </row>
    <row r="78" spans="1:12" outlineLevel="1" x14ac:dyDescent="0.2">
      <c r="A78" s="195">
        <v>120530</v>
      </c>
      <c r="B78" s="195" t="str">
        <f>+B66</f>
        <v>Construcciones Lvg SAS (10%)</v>
      </c>
      <c r="C78" s="196">
        <f>+D66</f>
        <v>1806700000</v>
      </c>
      <c r="D78" s="196"/>
      <c r="E78" s="196">
        <f t="shared" si="2"/>
        <v>1806700000</v>
      </c>
      <c r="F78" s="196">
        <f>+D66</f>
        <v>1806700000</v>
      </c>
    </row>
    <row r="79" spans="1:12" outlineLevel="1" x14ac:dyDescent="0.2">
      <c r="A79" s="195"/>
      <c r="B79" s="265" t="s">
        <v>197</v>
      </c>
      <c r="C79" s="266">
        <f>SUM(C74:C78)</f>
        <v>2781752000</v>
      </c>
      <c r="D79" s="266">
        <f>SUM(D74:D78)</f>
        <v>0</v>
      </c>
      <c r="E79" s="266">
        <f>SUM(E74:E78)</f>
        <v>2781752000</v>
      </c>
      <c r="F79" s="266">
        <f>SUM(F74:F78)</f>
        <v>2781752000</v>
      </c>
    </row>
    <row r="80" spans="1:12" outlineLevel="1" x14ac:dyDescent="0.2"/>
    <row r="81" spans="1:5" outlineLevel="1" x14ac:dyDescent="0.2">
      <c r="A81" s="15" t="s">
        <v>2159</v>
      </c>
    </row>
    <row r="82" spans="1:5" outlineLevel="1" x14ac:dyDescent="0.2">
      <c r="A82" s="190" t="s">
        <v>988</v>
      </c>
      <c r="E82" s="271"/>
    </row>
    <row r="83" spans="1:5" outlineLevel="1" x14ac:dyDescent="0.2">
      <c r="C83" s="229" t="s">
        <v>155</v>
      </c>
      <c r="E83" s="407">
        <v>22000000</v>
      </c>
    </row>
    <row r="84" spans="1:5" outlineLevel="1" x14ac:dyDescent="0.2">
      <c r="C84" s="229" t="s">
        <v>287</v>
      </c>
      <c r="E84" s="407">
        <v>0</v>
      </c>
    </row>
    <row r="85" spans="1:5" outlineLevel="1" x14ac:dyDescent="0.2">
      <c r="C85" s="229" t="s">
        <v>194</v>
      </c>
      <c r="E85" s="407"/>
    </row>
    <row r="86" spans="1:5" outlineLevel="1" x14ac:dyDescent="0.2">
      <c r="A86" s="190" t="s">
        <v>989</v>
      </c>
      <c r="E86" s="407"/>
    </row>
    <row r="87" spans="1:5" outlineLevel="1" x14ac:dyDescent="0.2">
      <c r="C87" s="229" t="s">
        <v>155</v>
      </c>
      <c r="E87" s="407">
        <f>+F64-E28</f>
        <v>-22192310</v>
      </c>
    </row>
    <row r="88" spans="1:5" outlineLevel="1" x14ac:dyDescent="0.2">
      <c r="C88" s="229" t="s">
        <v>287</v>
      </c>
      <c r="E88" s="407">
        <f>+F65-E29</f>
        <v>-106785780</v>
      </c>
    </row>
    <row r="89" spans="1:5" outlineLevel="1" x14ac:dyDescent="0.2">
      <c r="C89" s="229" t="s">
        <v>194</v>
      </c>
      <c r="E89" s="271"/>
    </row>
    <row r="90" spans="1:5" outlineLevel="1" x14ac:dyDescent="0.2"/>
    <row r="91" spans="1:5" outlineLevel="1" x14ac:dyDescent="0.2"/>
    <row r="92" spans="1:5" outlineLevel="1" x14ac:dyDescent="0.2"/>
  </sheetData>
  <phoneticPr fontId="3" type="noConversion"/>
  <pageMargins left="0.39370078740157483" right="0.39370078740157483" top="0.39370078740157483" bottom="0.39370078740157483" header="0" footer="0"/>
  <pageSetup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60"/>
  <sheetViews>
    <sheetView showGridLines="0" zoomScale="120" zoomScaleNormal="120" workbookViewId="0">
      <pane ySplit="1" topLeftCell="A56" activePane="bottomLeft" state="frozen"/>
      <selection pane="bottomLeft" activeCell="B52" sqref="B52"/>
    </sheetView>
  </sheetViews>
  <sheetFormatPr baseColWidth="10" defaultRowHeight="12.75" outlineLevelRow="1" x14ac:dyDescent="0.2"/>
  <cols>
    <col min="1" max="1" width="25.140625" style="190" customWidth="1"/>
    <col min="2" max="2" width="26.42578125" style="190" customWidth="1"/>
    <col min="3" max="3" width="21.7109375" style="190" bestFit="1" customWidth="1"/>
    <col min="4" max="4" width="18.42578125" style="190" customWidth="1"/>
    <col min="5" max="5" width="19.140625" style="190" customWidth="1"/>
    <col min="6" max="6" width="17.7109375" style="190" customWidth="1"/>
    <col min="7" max="7" width="17.42578125" style="190" bestFit="1" customWidth="1"/>
    <col min="8" max="8" width="16.42578125" style="190" customWidth="1"/>
    <col min="9" max="9" width="12.7109375" style="190" bestFit="1" customWidth="1"/>
    <col min="10" max="10" width="11.42578125" style="190"/>
    <col min="11" max="11" width="16.28515625" style="229" bestFit="1" customWidth="1"/>
    <col min="12" max="16384" width="11.42578125" style="190"/>
  </cols>
  <sheetData>
    <row r="1" spans="1:11" s="189" customFormat="1" x14ac:dyDescent="0.2">
      <c r="A1" s="187"/>
      <c r="B1" s="188"/>
      <c r="C1" s="187"/>
      <c r="K1" s="272"/>
    </row>
    <row r="3" spans="1:11" x14ac:dyDescent="0.2">
      <c r="A3" s="15" t="s">
        <v>237</v>
      </c>
      <c r="E3" s="197"/>
    </row>
    <row r="5" spans="1:11" s="192" customFormat="1" x14ac:dyDescent="0.2">
      <c r="A5" s="191" t="s">
        <v>2156</v>
      </c>
      <c r="C5" s="193"/>
      <c r="D5" s="193"/>
      <c r="E5" s="193"/>
    </row>
    <row r="6" spans="1:11" s="192" customFormat="1" x14ac:dyDescent="0.2">
      <c r="C6" s="193"/>
      <c r="D6" s="193"/>
      <c r="E6" s="193"/>
    </row>
    <row r="7" spans="1:11" hidden="1" outlineLevel="1" x14ac:dyDescent="0.2">
      <c r="A7" s="15" t="s">
        <v>242</v>
      </c>
      <c r="B7" s="273" t="s">
        <v>243</v>
      </c>
      <c r="C7" s="15"/>
      <c r="D7" s="273" t="s">
        <v>234</v>
      </c>
      <c r="E7" s="15"/>
    </row>
    <row r="8" spans="1:11" hidden="1" outlineLevel="1" x14ac:dyDescent="0.2">
      <c r="A8" s="190" t="s">
        <v>240</v>
      </c>
      <c r="B8" s="112">
        <v>2585665169.2892494</v>
      </c>
      <c r="C8" s="190" t="s">
        <v>2173</v>
      </c>
      <c r="D8" s="112">
        <v>36526000</v>
      </c>
    </row>
    <row r="9" spans="1:11" hidden="1" outlineLevel="1" x14ac:dyDescent="0.2">
      <c r="A9" s="190" t="s">
        <v>240</v>
      </c>
      <c r="B9" s="112">
        <v>2044654975.1177564</v>
      </c>
      <c r="C9" s="190" t="s">
        <v>2173</v>
      </c>
      <c r="D9" s="112">
        <v>42365000</v>
      </c>
    </row>
    <row r="10" spans="1:11" hidden="1" outlineLevel="1" x14ac:dyDescent="0.2">
      <c r="A10" s="190" t="s">
        <v>828</v>
      </c>
      <c r="B10" s="112">
        <v>362560000</v>
      </c>
      <c r="C10" s="190" t="s">
        <v>244</v>
      </c>
      <c r="D10" s="112">
        <v>-6526000</v>
      </c>
    </row>
    <row r="11" spans="1:11" hidden="1" outlineLevel="1" x14ac:dyDescent="0.2">
      <c r="A11" s="190" t="s">
        <v>828</v>
      </c>
      <c r="B11" s="112">
        <v>465200000</v>
      </c>
      <c r="C11" s="190" t="s">
        <v>245</v>
      </c>
      <c r="D11" s="112">
        <v>-3526000</v>
      </c>
    </row>
    <row r="12" spans="1:11" hidden="1" outlineLevel="1" x14ac:dyDescent="0.2"/>
    <row r="13" spans="1:11" hidden="1" outlineLevel="1" x14ac:dyDescent="0.2"/>
    <row r="14" spans="1:11" hidden="1" outlineLevel="1" x14ac:dyDescent="0.2"/>
    <row r="15" spans="1:11" collapsed="1" x14ac:dyDescent="0.2"/>
    <row r="20" spans="1:7" x14ac:dyDescent="0.2">
      <c r="A20" s="191" t="s">
        <v>2157</v>
      </c>
      <c r="B20" s="192"/>
      <c r="C20" s="193"/>
      <c r="D20" s="193"/>
      <c r="E20" s="193"/>
    </row>
    <row r="21" spans="1:7" x14ac:dyDescent="0.2">
      <c r="A21" s="192"/>
      <c r="B21" s="192"/>
      <c r="C21" s="193"/>
      <c r="D21" s="193"/>
      <c r="E21" s="193"/>
    </row>
    <row r="22" spans="1:7" hidden="1" outlineLevel="1" x14ac:dyDescent="0.2">
      <c r="A22" s="15" t="s">
        <v>242</v>
      </c>
      <c r="B22" s="273" t="s">
        <v>243</v>
      </c>
      <c r="C22" s="15"/>
      <c r="D22" s="273" t="s">
        <v>234</v>
      </c>
      <c r="E22" s="15" t="s">
        <v>288</v>
      </c>
      <c r="F22" s="15" t="s">
        <v>235</v>
      </c>
    </row>
    <row r="23" spans="1:7" hidden="1" outlineLevel="1" x14ac:dyDescent="0.2">
      <c r="A23" s="190" t="s">
        <v>240</v>
      </c>
      <c r="B23" s="112">
        <v>2044654975</v>
      </c>
      <c r="C23" s="190" t="s">
        <v>2173</v>
      </c>
      <c r="D23" s="112">
        <v>48525000</v>
      </c>
      <c r="E23" s="112">
        <f>+D8</f>
        <v>36526000</v>
      </c>
      <c r="F23" s="112">
        <f>+D23-E23</f>
        <v>11999000</v>
      </c>
    </row>
    <row r="24" spans="1:7" hidden="1" outlineLevel="1" x14ac:dyDescent="0.2">
      <c r="A24" s="190" t="s">
        <v>240</v>
      </c>
      <c r="B24" s="112">
        <v>1654000000</v>
      </c>
      <c r="C24" s="190" t="s">
        <v>2173</v>
      </c>
      <c r="D24" s="112">
        <v>98526000</v>
      </c>
      <c r="E24" s="112">
        <f>+D9</f>
        <v>42365000</v>
      </c>
      <c r="F24" s="112">
        <f>+D24-E24</f>
        <v>56161000</v>
      </c>
    </row>
    <row r="25" spans="1:7" hidden="1" outlineLevel="1" x14ac:dyDescent="0.2">
      <c r="A25" s="190" t="s">
        <v>241</v>
      </c>
      <c r="B25" s="112">
        <v>125625000</v>
      </c>
      <c r="C25" s="190" t="s">
        <v>244</v>
      </c>
      <c r="D25" s="112">
        <v>-3526000</v>
      </c>
      <c r="E25" s="112"/>
      <c r="F25" s="112"/>
      <c r="G25" s="190" t="s">
        <v>992</v>
      </c>
    </row>
    <row r="26" spans="1:7" hidden="1" outlineLevel="1" x14ac:dyDescent="0.2">
      <c r="A26" s="190" t="s">
        <v>241</v>
      </c>
      <c r="B26" s="112">
        <v>365000000</v>
      </c>
      <c r="C26" s="190" t="s">
        <v>245</v>
      </c>
      <c r="D26" s="112">
        <v>-1526000</v>
      </c>
      <c r="E26" s="112"/>
      <c r="F26" s="112"/>
      <c r="G26" s="190" t="s">
        <v>992</v>
      </c>
    </row>
    <row r="27" spans="1:7" hidden="1" outlineLevel="1" x14ac:dyDescent="0.2"/>
    <row r="28" spans="1:7" hidden="1" outlineLevel="1" x14ac:dyDescent="0.2"/>
    <row r="29" spans="1:7" hidden="1" outlineLevel="1" x14ac:dyDescent="0.2">
      <c r="A29" s="15" t="s">
        <v>995</v>
      </c>
    </row>
    <row r="30" spans="1:7" hidden="1" outlineLevel="1" x14ac:dyDescent="0.2">
      <c r="A30" s="190" t="s">
        <v>993</v>
      </c>
      <c r="F30" s="240">
        <v>25623500</v>
      </c>
    </row>
    <row r="31" spans="1:7" hidden="1" outlineLevel="1" x14ac:dyDescent="0.2"/>
    <row r="32" spans="1:7" collapsed="1" x14ac:dyDescent="0.2"/>
    <row r="37" spans="1:7" x14ac:dyDescent="0.2">
      <c r="A37" s="191" t="s">
        <v>2158</v>
      </c>
      <c r="B37" s="192"/>
      <c r="C37" s="193"/>
      <c r="D37" s="193"/>
      <c r="E37" s="193"/>
    </row>
    <row r="38" spans="1:7" x14ac:dyDescent="0.2">
      <c r="A38" s="192"/>
      <c r="B38" s="192"/>
      <c r="C38" s="193"/>
      <c r="D38" s="193"/>
      <c r="E38" s="193"/>
    </row>
    <row r="39" spans="1:7" outlineLevel="1" x14ac:dyDescent="0.2">
      <c r="A39" s="15" t="s">
        <v>242</v>
      </c>
      <c r="B39" s="273" t="s">
        <v>243</v>
      </c>
      <c r="C39" s="15"/>
      <c r="D39" s="273" t="s">
        <v>234</v>
      </c>
      <c r="E39" s="15" t="s">
        <v>288</v>
      </c>
      <c r="F39" s="15" t="s">
        <v>235</v>
      </c>
    </row>
    <row r="40" spans="1:7" outlineLevel="1" x14ac:dyDescent="0.2">
      <c r="A40" s="190" t="s">
        <v>240</v>
      </c>
      <c r="B40" s="112">
        <v>2044654975</v>
      </c>
      <c r="C40" s="190" t="s">
        <v>2173</v>
      </c>
      <c r="D40" s="112">
        <v>26526324</v>
      </c>
      <c r="E40" s="112">
        <f>+D23</f>
        <v>48525000</v>
      </c>
      <c r="F40" s="112">
        <f>+D40-E40</f>
        <v>-21998676</v>
      </c>
    </row>
    <row r="41" spans="1:7" outlineLevel="1" x14ac:dyDescent="0.2">
      <c r="A41" s="190" t="s">
        <v>240</v>
      </c>
      <c r="B41" s="112">
        <v>1654000000</v>
      </c>
      <c r="C41" s="190" t="s">
        <v>2173</v>
      </c>
      <c r="D41" s="112">
        <v>-15625400</v>
      </c>
      <c r="E41" s="112">
        <f>+D24</f>
        <v>98526000</v>
      </c>
      <c r="F41" s="112">
        <f>+D41-E41</f>
        <v>-114151400</v>
      </c>
    </row>
    <row r="42" spans="1:7" outlineLevel="1" x14ac:dyDescent="0.2">
      <c r="A42" s="190" t="s">
        <v>241</v>
      </c>
      <c r="B42" s="112">
        <v>125625000</v>
      </c>
      <c r="C42" s="190" t="s">
        <v>244</v>
      </c>
      <c r="D42" s="112">
        <v>-12526000</v>
      </c>
      <c r="E42" s="112"/>
      <c r="F42" s="112"/>
      <c r="G42" s="190" t="s">
        <v>992</v>
      </c>
    </row>
    <row r="43" spans="1:7" outlineLevel="1" x14ac:dyDescent="0.2">
      <c r="A43" s="190" t="s">
        <v>241</v>
      </c>
      <c r="B43" s="112">
        <v>365000000</v>
      </c>
      <c r="C43" s="190" t="s">
        <v>245</v>
      </c>
      <c r="D43" s="112">
        <v>-9548700</v>
      </c>
      <c r="E43" s="112"/>
      <c r="F43" s="112"/>
      <c r="G43" s="190" t="s">
        <v>992</v>
      </c>
    </row>
    <row r="44" spans="1:7" outlineLevel="1" x14ac:dyDescent="0.2"/>
    <row r="45" spans="1:7" outlineLevel="1" x14ac:dyDescent="0.2"/>
    <row r="46" spans="1:7" outlineLevel="1" x14ac:dyDescent="0.2">
      <c r="A46" s="15" t="s">
        <v>995</v>
      </c>
    </row>
    <row r="47" spans="1:7" outlineLevel="1" x14ac:dyDescent="0.2">
      <c r="A47" s="190" t="s">
        <v>994</v>
      </c>
      <c r="F47" s="240">
        <v>125326540</v>
      </c>
    </row>
    <row r="48" spans="1:7" outlineLevel="1" x14ac:dyDescent="0.2"/>
    <row r="49" spans="1:6" outlineLevel="1" x14ac:dyDescent="0.2"/>
    <row r="50" spans="1:6" outlineLevel="1" x14ac:dyDescent="0.2"/>
    <row r="51" spans="1:6" x14ac:dyDescent="0.2">
      <c r="A51" s="190" t="s">
        <v>170</v>
      </c>
    </row>
    <row r="53" spans="1:6" x14ac:dyDescent="0.2">
      <c r="A53" s="190" t="s">
        <v>1016</v>
      </c>
      <c r="B53" s="190" t="s">
        <v>1015</v>
      </c>
      <c r="D53" s="274">
        <f>+D40</f>
        <v>26526324</v>
      </c>
      <c r="F53" s="190" t="s">
        <v>424</v>
      </c>
    </row>
    <row r="54" spans="1:6" x14ac:dyDescent="0.2">
      <c r="A54" s="190" t="s">
        <v>1016</v>
      </c>
      <c r="B54" s="190" t="s">
        <v>1015</v>
      </c>
      <c r="E54" s="275">
        <f>+E40+E41</f>
        <v>147051000</v>
      </c>
      <c r="F54" s="190" t="s">
        <v>288</v>
      </c>
    </row>
    <row r="55" spans="1:6" x14ac:dyDescent="0.2">
      <c r="A55" s="190" t="s">
        <v>1017</v>
      </c>
      <c r="B55" s="190" t="s">
        <v>1018</v>
      </c>
      <c r="E55" s="275">
        <f>-D41-D42-D43</f>
        <v>37700100</v>
      </c>
    </row>
    <row r="56" spans="1:6" x14ac:dyDescent="0.2">
      <c r="A56" s="190" t="s">
        <v>1019</v>
      </c>
      <c r="B56" s="190" t="s">
        <v>1020</v>
      </c>
      <c r="D56" s="275">
        <f>+E54+E55-D53</f>
        <v>158224776</v>
      </c>
    </row>
    <row r="57" spans="1:6" x14ac:dyDescent="0.2">
      <c r="D57" s="276">
        <f>SUM(D52:D56)</f>
        <v>184751100</v>
      </c>
      <c r="E57" s="276">
        <f>SUM(E52:E56)</f>
        <v>184751100</v>
      </c>
    </row>
    <row r="59" spans="1:6" x14ac:dyDescent="0.2">
      <c r="A59" s="190" t="s">
        <v>1021</v>
      </c>
      <c r="D59" s="190">
        <v>0</v>
      </c>
    </row>
    <row r="60" spans="1:6" x14ac:dyDescent="0.2">
      <c r="A60" s="190" t="s">
        <v>1022</v>
      </c>
      <c r="D60" s="190">
        <v>0</v>
      </c>
    </row>
  </sheetData>
  <pageMargins left="0.39370078740157483" right="0.39370078740157483" top="0.39370078740157483" bottom="0.39370078740157483" header="0" footer="0"/>
  <pageSetup orientation="landscape"/>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30"/>
  <sheetViews>
    <sheetView showGridLines="0" zoomScale="140" zoomScaleNormal="140" workbookViewId="0">
      <pane ySplit="1" topLeftCell="A11" activePane="bottomLeft" state="frozen"/>
      <selection pane="bottomLeft" activeCell="A14" sqref="A14"/>
    </sheetView>
  </sheetViews>
  <sheetFormatPr baseColWidth="10" defaultRowHeight="12.75" outlineLevelRow="1" x14ac:dyDescent="0.2"/>
  <cols>
    <col min="1" max="1" width="25.140625" style="190" customWidth="1"/>
    <col min="2" max="2" width="26.42578125" style="190" customWidth="1"/>
    <col min="3" max="3" width="21.7109375" style="190" bestFit="1" customWidth="1"/>
    <col min="4" max="4" width="21.140625" style="190" customWidth="1"/>
    <col min="5" max="5" width="19.140625" style="190" customWidth="1"/>
    <col min="6" max="6" width="17.7109375" style="190" customWidth="1"/>
    <col min="7" max="7" width="17.42578125" style="190" bestFit="1" customWidth="1"/>
    <col min="8" max="8" width="16.42578125" style="190" customWidth="1"/>
    <col min="9" max="9" width="12.7109375" style="190" bestFit="1" customWidth="1"/>
    <col min="10" max="10" width="11.42578125" style="190"/>
    <col min="11" max="11" width="16.28515625" style="229" bestFit="1" customWidth="1"/>
    <col min="12" max="16384" width="11.42578125" style="190"/>
  </cols>
  <sheetData>
    <row r="1" spans="1:11" s="189" customFormat="1" x14ac:dyDescent="0.2">
      <c r="A1" s="187"/>
      <c r="B1" s="188"/>
      <c r="C1" s="187"/>
      <c r="K1" s="272"/>
    </row>
    <row r="3" spans="1:11" x14ac:dyDescent="0.2">
      <c r="A3" s="15" t="s">
        <v>237</v>
      </c>
      <c r="E3" s="197"/>
    </row>
    <row r="5" spans="1:11" outlineLevel="1" x14ac:dyDescent="0.2">
      <c r="A5" s="15"/>
      <c r="B5" s="273"/>
      <c r="C5" s="15"/>
      <c r="D5" s="273"/>
      <c r="E5" s="15"/>
    </row>
    <row r="6" spans="1:11" outlineLevel="1" x14ac:dyDescent="0.2">
      <c r="A6" s="190" t="s">
        <v>247</v>
      </c>
      <c r="B6" s="277"/>
      <c r="D6" s="277"/>
    </row>
    <row r="7" spans="1:11" outlineLevel="1" x14ac:dyDescent="0.2">
      <c r="A7" s="190" t="s">
        <v>248</v>
      </c>
      <c r="B7" s="277"/>
      <c r="D7" s="1173">
        <f>-B9</f>
        <v>-1200000000</v>
      </c>
    </row>
    <row r="8" spans="1:11" outlineLevel="1" x14ac:dyDescent="0.2">
      <c r="B8" s="277"/>
      <c r="D8" s="1173">
        <f>+C17</f>
        <v>54840000</v>
      </c>
    </row>
    <row r="9" spans="1:11" outlineLevel="1" x14ac:dyDescent="0.2">
      <c r="A9" s="190" t="s">
        <v>249</v>
      </c>
      <c r="B9" s="406">
        <v>1200000000</v>
      </c>
      <c r="D9" s="1173">
        <f>+C18</f>
        <v>54840000</v>
      </c>
    </row>
    <row r="10" spans="1:11" outlineLevel="1" x14ac:dyDescent="0.2">
      <c r="A10" s="190" t="s">
        <v>404</v>
      </c>
      <c r="B10" s="278">
        <v>4.5699999999999998E-2</v>
      </c>
      <c r="C10" s="190" t="s">
        <v>3</v>
      </c>
      <c r="D10" s="1173">
        <f>+D9-D7</f>
        <v>1254840000</v>
      </c>
    </row>
    <row r="11" spans="1:11" outlineLevel="1" x14ac:dyDescent="0.2">
      <c r="A11" s="190" t="s">
        <v>250</v>
      </c>
      <c r="B11" s="277" t="s">
        <v>251</v>
      </c>
      <c r="D11" s="1173"/>
    </row>
    <row r="12" spans="1:11" outlineLevel="1" x14ac:dyDescent="0.2">
      <c r="A12" s="190" t="s">
        <v>252</v>
      </c>
      <c r="B12" s="277" t="s">
        <v>2166</v>
      </c>
      <c r="D12" s="1174">
        <f>+NPV(12%,D8:D10)</f>
        <v>985852724.12536407</v>
      </c>
      <c r="H12" s="279">
        <v>0.90649999999999997</v>
      </c>
    </row>
    <row r="13" spans="1:11" outlineLevel="1" x14ac:dyDescent="0.2">
      <c r="B13" s="277"/>
      <c r="D13" s="277"/>
    </row>
    <row r="14" spans="1:11" outlineLevel="1" x14ac:dyDescent="0.2">
      <c r="B14" s="277"/>
      <c r="D14" s="277"/>
    </row>
    <row r="15" spans="1:11" outlineLevel="1" x14ac:dyDescent="0.2">
      <c r="A15" s="280" t="s">
        <v>147</v>
      </c>
      <c r="B15" s="281" t="s">
        <v>42</v>
      </c>
      <c r="C15" s="280" t="s">
        <v>76</v>
      </c>
      <c r="D15" s="281" t="s">
        <v>48</v>
      </c>
    </row>
    <row r="16" spans="1:11" outlineLevel="1" x14ac:dyDescent="0.2">
      <c r="A16" s="195"/>
      <c r="B16" s="401"/>
      <c r="C16" s="402"/>
      <c r="D16" s="401">
        <f>+B9</f>
        <v>1200000000</v>
      </c>
    </row>
    <row r="17" spans="1:4" outlineLevel="1" x14ac:dyDescent="0.2">
      <c r="A17" s="195" t="s">
        <v>2163</v>
      </c>
      <c r="B17" s="401">
        <f>+D16*B10</f>
        <v>54840000</v>
      </c>
      <c r="C17" s="401">
        <f>+D16*$B$10</f>
        <v>54840000</v>
      </c>
      <c r="D17" s="401">
        <f>+D16+B17-C17</f>
        <v>1200000000</v>
      </c>
    </row>
    <row r="18" spans="1:4" outlineLevel="1" x14ac:dyDescent="0.2">
      <c r="A18" s="195" t="s">
        <v>2162</v>
      </c>
      <c r="B18" s="401">
        <f t="shared" ref="B18:B23" si="0">+B17</f>
        <v>54840000</v>
      </c>
      <c r="C18" s="401">
        <f>+D17*$B$10</f>
        <v>54840000</v>
      </c>
      <c r="D18" s="401">
        <f t="shared" ref="D18:D23" si="1">+D17+B18-C18</f>
        <v>1200000000</v>
      </c>
    </row>
    <row r="19" spans="1:4" outlineLevel="1" x14ac:dyDescent="0.2">
      <c r="A19" s="282" t="s">
        <v>2161</v>
      </c>
      <c r="B19" s="403">
        <f t="shared" si="0"/>
        <v>54840000</v>
      </c>
      <c r="C19" s="403">
        <f t="shared" ref="C19:C22" si="2">+D18*$B$10</f>
        <v>54840000</v>
      </c>
      <c r="D19" s="403">
        <f t="shared" si="1"/>
        <v>1200000000</v>
      </c>
    </row>
    <row r="20" spans="1:4" outlineLevel="1" x14ac:dyDescent="0.2">
      <c r="A20" s="283" t="s">
        <v>2150</v>
      </c>
      <c r="B20" s="404">
        <f t="shared" si="0"/>
        <v>54840000</v>
      </c>
      <c r="C20" s="404">
        <f t="shared" si="2"/>
        <v>54840000</v>
      </c>
      <c r="D20" s="404">
        <f t="shared" si="1"/>
        <v>1200000000</v>
      </c>
    </row>
    <row r="21" spans="1:4" outlineLevel="1" x14ac:dyDescent="0.2">
      <c r="A21" s="284" t="s">
        <v>2149</v>
      </c>
      <c r="B21" s="405">
        <f t="shared" si="0"/>
        <v>54840000</v>
      </c>
      <c r="C21" s="405">
        <f t="shared" si="2"/>
        <v>54840000</v>
      </c>
      <c r="D21" s="405">
        <f t="shared" si="1"/>
        <v>1200000000</v>
      </c>
    </row>
    <row r="22" spans="1:4" outlineLevel="1" x14ac:dyDescent="0.2">
      <c r="A22" s="195" t="s">
        <v>2164</v>
      </c>
      <c r="B22" s="401">
        <f t="shared" si="0"/>
        <v>54840000</v>
      </c>
      <c r="C22" s="401">
        <f t="shared" si="2"/>
        <v>54840000</v>
      </c>
      <c r="D22" s="401">
        <f t="shared" si="1"/>
        <v>1200000000</v>
      </c>
    </row>
    <row r="23" spans="1:4" outlineLevel="1" x14ac:dyDescent="0.2">
      <c r="A23" s="195" t="s">
        <v>2165</v>
      </c>
      <c r="B23" s="401">
        <f t="shared" si="0"/>
        <v>54840000</v>
      </c>
      <c r="C23" s="401">
        <f>+D22*$B$10</f>
        <v>54840000</v>
      </c>
      <c r="D23" s="401">
        <f t="shared" si="1"/>
        <v>1200000000</v>
      </c>
    </row>
    <row r="24" spans="1:4" outlineLevel="1" x14ac:dyDescent="0.2"/>
    <row r="25" spans="1:4" outlineLevel="1" x14ac:dyDescent="0.2"/>
    <row r="26" spans="1:4" x14ac:dyDescent="0.2">
      <c r="A26" s="15" t="s">
        <v>2159</v>
      </c>
    </row>
    <row r="27" spans="1:4" x14ac:dyDescent="0.2">
      <c r="A27" s="190" t="s">
        <v>996</v>
      </c>
      <c r="D27" s="336">
        <f>+C20</f>
        <v>54840000</v>
      </c>
    </row>
    <row r="29" spans="1:4" x14ac:dyDescent="0.2">
      <c r="A29" s="15" t="s">
        <v>2160</v>
      </c>
    </row>
    <row r="30" spans="1:4" x14ac:dyDescent="0.2">
      <c r="A30" s="190" t="s">
        <v>996</v>
      </c>
      <c r="D30" s="336">
        <f>+C21</f>
        <v>54840000</v>
      </c>
    </row>
  </sheetData>
  <pageMargins left="0.39370078740157483" right="0.39370078740157483" top="0.39370078740157483" bottom="0.39370078740157483" header="0" footer="0"/>
  <pageSetup orientation="landscape"/>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V132"/>
  <sheetViews>
    <sheetView showGridLines="0" zoomScaleNormal="100" workbookViewId="0">
      <pane ySplit="1" topLeftCell="A117" activePane="bottomLeft" state="frozen"/>
      <selection pane="bottomLeft" activeCell="F133" sqref="F133"/>
    </sheetView>
  </sheetViews>
  <sheetFormatPr baseColWidth="10" defaultRowHeight="12.75" outlineLevelRow="1" x14ac:dyDescent="0.2"/>
  <cols>
    <col min="1" max="1" width="22" style="190" customWidth="1"/>
    <col min="2" max="2" width="18" style="190" customWidth="1"/>
    <col min="3" max="3" width="9.28515625" style="190" customWidth="1"/>
    <col min="4" max="4" width="19.7109375" style="190" customWidth="1"/>
    <col min="5" max="5" width="17" style="190" customWidth="1"/>
    <col min="6" max="6" width="20" style="190" customWidth="1"/>
    <col min="7" max="7" width="19.42578125" style="190" customWidth="1"/>
    <col min="8" max="8" width="15.28515625" style="190" customWidth="1"/>
    <col min="9" max="9" width="20.7109375" style="190" customWidth="1"/>
    <col min="10" max="10" width="20.140625" style="190" bestFit="1" customWidth="1"/>
    <col min="11" max="11" width="18.85546875" style="190" customWidth="1"/>
    <col min="12" max="12" width="17.140625" style="190" customWidth="1"/>
    <col min="13" max="13" width="17" style="190" customWidth="1"/>
    <col min="14" max="14" width="18.85546875" style="190" bestFit="1" customWidth="1"/>
    <col min="15" max="15" width="19.28515625" style="190" customWidth="1"/>
    <col min="16" max="16" width="15.42578125" style="190" bestFit="1" customWidth="1"/>
    <col min="17" max="17" width="21.140625" style="190" bestFit="1" customWidth="1"/>
    <col min="18" max="18" width="18.42578125" style="190" customWidth="1"/>
    <col min="19" max="19" width="17" style="190" bestFit="1" customWidth="1"/>
    <col min="20" max="20" width="16.85546875" style="190" customWidth="1"/>
    <col min="21" max="21" width="11.42578125" style="190"/>
    <col min="22" max="22" width="15" style="229" customWidth="1"/>
    <col min="23" max="16384" width="11.42578125" style="190"/>
  </cols>
  <sheetData>
    <row r="1" spans="1:22" s="189" customFormat="1" x14ac:dyDescent="0.2">
      <c r="A1" s="187"/>
      <c r="B1" s="188"/>
      <c r="C1" s="187"/>
      <c r="V1" s="272"/>
    </row>
    <row r="3" spans="1:22" x14ac:dyDescent="0.2">
      <c r="B3" s="15" t="s">
        <v>92</v>
      </c>
    </row>
    <row r="4" spans="1:22" x14ac:dyDescent="0.2">
      <c r="B4" s="15"/>
    </row>
    <row r="5" spans="1:22" s="192" customFormat="1" x14ac:dyDescent="0.2">
      <c r="A5" s="191" t="s">
        <v>2156</v>
      </c>
      <c r="C5" s="193"/>
      <c r="D5" s="193"/>
      <c r="E5" s="193"/>
    </row>
    <row r="6" spans="1:22" s="192" customFormat="1" x14ac:dyDescent="0.2">
      <c r="A6" s="191"/>
      <c r="C6" s="193"/>
      <c r="D6" s="193"/>
      <c r="E6" s="193"/>
    </row>
    <row r="7" spans="1:22" s="285" customFormat="1" hidden="1" outlineLevel="1" x14ac:dyDescent="0.2">
      <c r="B7" s="285" t="s">
        <v>0</v>
      </c>
    </row>
    <row r="8" spans="1:22" s="285" customFormat="1" hidden="1" outlineLevel="1" x14ac:dyDescent="0.2">
      <c r="A8" s="285" t="s">
        <v>1024</v>
      </c>
    </row>
    <row r="9" spans="1:22" hidden="1" outlineLevel="1" x14ac:dyDescent="0.2">
      <c r="A9" s="344"/>
      <c r="B9" s="345"/>
      <c r="C9" s="345"/>
      <c r="D9" s="345"/>
      <c r="E9" s="345"/>
      <c r="F9" s="291"/>
    </row>
    <row r="10" spans="1:22" hidden="1" outlineLevel="1" x14ac:dyDescent="0.2">
      <c r="A10" s="1588" t="s">
        <v>1062</v>
      </c>
      <c r="B10" s="1589" t="s">
        <v>1063</v>
      </c>
      <c r="C10" s="1589" t="s">
        <v>1054</v>
      </c>
      <c r="D10" s="1589" t="s">
        <v>1064</v>
      </c>
      <c r="E10" s="1589" t="s">
        <v>1054</v>
      </c>
      <c r="F10" s="1580" t="s">
        <v>1053</v>
      </c>
    </row>
    <row r="11" spans="1:22" hidden="1" outlineLevel="1" x14ac:dyDescent="0.2">
      <c r="A11" s="1588"/>
      <c r="B11" s="1590"/>
      <c r="C11" s="1590"/>
      <c r="D11" s="1590"/>
      <c r="E11" s="1590"/>
      <c r="F11" s="1581"/>
    </row>
    <row r="12" spans="1:22" hidden="1" outlineLevel="1" x14ac:dyDescent="0.2">
      <c r="A12" s="1589"/>
      <c r="B12" s="1590"/>
      <c r="C12" s="1590"/>
      <c r="D12" s="1590"/>
      <c r="E12" s="1590"/>
      <c r="F12" s="1581"/>
    </row>
    <row r="13" spans="1:22" hidden="1" outlineLevel="1" x14ac:dyDescent="0.2">
      <c r="A13" s="286" t="s">
        <v>1055</v>
      </c>
      <c r="B13" s="287"/>
      <c r="C13" s="288">
        <v>0.05</v>
      </c>
      <c r="D13" s="286">
        <f>+B13*C13</f>
        <v>0</v>
      </c>
      <c r="E13" s="288">
        <v>0</v>
      </c>
      <c r="F13" s="286">
        <f>+B13*E13</f>
        <v>0</v>
      </c>
    </row>
    <row r="14" spans="1:22" hidden="1" outlineLevel="1" x14ac:dyDescent="0.2">
      <c r="A14" s="286" t="s">
        <v>1056</v>
      </c>
      <c r="B14" s="287"/>
      <c r="C14" s="288">
        <v>0.1</v>
      </c>
      <c r="D14" s="286">
        <f t="shared" ref="D14:D18" si="0">+B14*C14</f>
        <v>0</v>
      </c>
      <c r="E14" s="288">
        <v>0</v>
      </c>
      <c r="F14" s="286">
        <f t="shared" ref="F14:F18" si="1">+B14*E14</f>
        <v>0</v>
      </c>
    </row>
    <row r="15" spans="1:22" hidden="1" outlineLevel="1" x14ac:dyDescent="0.2">
      <c r="A15" s="286" t="s">
        <v>1057</v>
      </c>
      <c r="B15" s="287">
        <f>+D40</f>
        <v>135245630</v>
      </c>
      <c r="C15" s="288">
        <v>0.15</v>
      </c>
      <c r="D15" s="286">
        <f t="shared" si="0"/>
        <v>20286844.5</v>
      </c>
      <c r="E15" s="288">
        <v>0.33</v>
      </c>
      <c r="F15" s="286">
        <f t="shared" si="1"/>
        <v>44631057.899999999</v>
      </c>
    </row>
    <row r="16" spans="1:22" hidden="1" outlineLevel="1" x14ac:dyDescent="0.2">
      <c r="A16" s="286" t="s">
        <v>1058</v>
      </c>
      <c r="B16" s="287">
        <f>+D41</f>
        <v>385423652</v>
      </c>
      <c r="C16" s="288">
        <v>0.15</v>
      </c>
      <c r="D16" s="286">
        <f t="shared" si="0"/>
        <v>57813547.799999997</v>
      </c>
      <c r="E16" s="288">
        <v>0.66</v>
      </c>
      <c r="F16" s="286">
        <f t="shared" si="1"/>
        <v>254379610.32000002</v>
      </c>
    </row>
    <row r="17" spans="1:12" hidden="1" outlineLevel="1" x14ac:dyDescent="0.2">
      <c r="A17" s="286" t="s">
        <v>1059</v>
      </c>
      <c r="B17" s="287"/>
      <c r="C17" s="288">
        <v>0.15</v>
      </c>
      <c r="D17" s="286">
        <f t="shared" si="0"/>
        <v>0</v>
      </c>
      <c r="E17" s="288">
        <v>1</v>
      </c>
      <c r="F17" s="286">
        <f t="shared" si="1"/>
        <v>0</v>
      </c>
    </row>
    <row r="18" spans="1:12" hidden="1" outlineLevel="1" x14ac:dyDescent="0.2">
      <c r="A18" s="286" t="s">
        <v>1067</v>
      </c>
      <c r="B18" s="287">
        <f>+D38+D39</f>
        <v>627762000</v>
      </c>
      <c r="C18" s="288">
        <v>0</v>
      </c>
      <c r="D18" s="286">
        <f t="shared" si="0"/>
        <v>0</v>
      </c>
      <c r="E18" s="288">
        <v>0</v>
      </c>
      <c r="F18" s="286">
        <f t="shared" si="1"/>
        <v>0</v>
      </c>
    </row>
    <row r="19" spans="1:12" hidden="1" outlineLevel="1" x14ac:dyDescent="0.2">
      <c r="A19" s="289" t="s">
        <v>990</v>
      </c>
      <c r="B19" s="289">
        <f>SUM(B13:B18)</f>
        <v>1148431282</v>
      </c>
      <c r="C19" s="289"/>
      <c r="D19" s="289">
        <f>SUM(D13:D18)</f>
        <v>78100392.299999997</v>
      </c>
      <c r="E19" s="289"/>
      <c r="F19" s="289">
        <f>SUM(F13:F18)</f>
        <v>299010668.22000003</v>
      </c>
    </row>
    <row r="20" spans="1:12" hidden="1" outlineLevel="1" x14ac:dyDescent="0.2">
      <c r="A20" s="290"/>
      <c r="B20" s="290"/>
      <c r="C20" s="290"/>
      <c r="D20" s="291"/>
      <c r="E20" s="291"/>
      <c r="F20" s="290"/>
    </row>
    <row r="21" spans="1:12" ht="25.5" hidden="1" outlineLevel="1" x14ac:dyDescent="0.2">
      <c r="A21" s="292" t="s">
        <v>1060</v>
      </c>
      <c r="B21" s="287">
        <v>0</v>
      </c>
      <c r="C21" s="293"/>
      <c r="D21" s="294">
        <f>+B21</f>
        <v>0</v>
      </c>
      <c r="E21" s="295"/>
      <c r="F21" s="296">
        <v>0</v>
      </c>
    </row>
    <row r="22" spans="1:12" ht="25.5" hidden="1" outlineLevel="1" x14ac:dyDescent="0.2">
      <c r="A22" s="292" t="s">
        <v>1061</v>
      </c>
      <c r="B22" s="297"/>
      <c r="C22" s="298"/>
      <c r="D22" s="294">
        <f>+B22</f>
        <v>0</v>
      </c>
      <c r="E22" s="295"/>
      <c r="F22" s="296">
        <v>0</v>
      </c>
    </row>
    <row r="23" spans="1:12" ht="25.5" hidden="1" outlineLevel="1" x14ac:dyDescent="0.2">
      <c r="A23" s="341" t="s">
        <v>1068</v>
      </c>
      <c r="B23" s="299">
        <v>0</v>
      </c>
      <c r="C23" s="300"/>
      <c r="D23" s="301">
        <v>0</v>
      </c>
      <c r="E23" s="302"/>
      <c r="F23" s="303">
        <v>0</v>
      </c>
    </row>
    <row r="24" spans="1:12" hidden="1" outlineLevel="1" x14ac:dyDescent="0.2">
      <c r="A24" s="290"/>
      <c r="B24" s="290"/>
      <c r="C24" s="290"/>
      <c r="D24" s="290"/>
      <c r="E24" s="290"/>
      <c r="F24" s="290"/>
    </row>
    <row r="25" spans="1:12" hidden="1" outlineLevel="1" x14ac:dyDescent="0.2">
      <c r="A25" s="1582" t="s">
        <v>1065</v>
      </c>
      <c r="B25" s="1583"/>
      <c r="C25" s="304"/>
      <c r="D25" s="305"/>
      <c r="E25" s="306"/>
      <c r="F25" s="307">
        <f>+F19-F21</f>
        <v>299010668.22000003</v>
      </c>
    </row>
    <row r="26" spans="1:12" hidden="1" outlineLevel="1" x14ac:dyDescent="0.2">
      <c r="A26" s="1584" t="s">
        <v>1073</v>
      </c>
      <c r="B26" s="1585"/>
      <c r="C26" s="308"/>
      <c r="D26" s="309"/>
      <c r="E26" s="310"/>
      <c r="F26" s="311">
        <v>0</v>
      </c>
    </row>
    <row r="27" spans="1:12" hidden="1" outlineLevel="1" x14ac:dyDescent="0.2">
      <c r="A27" s="1586" t="s">
        <v>1066</v>
      </c>
      <c r="B27" s="1587"/>
      <c r="C27" s="312"/>
      <c r="D27" s="313"/>
      <c r="E27" s="314"/>
      <c r="F27" s="315">
        <f>+F19</f>
        <v>299010668.22000003</v>
      </c>
    </row>
    <row r="28" spans="1:12" hidden="1" outlineLevel="1" x14ac:dyDescent="0.2">
      <c r="A28" s="316"/>
      <c r="B28" s="316"/>
      <c r="C28" s="316"/>
      <c r="D28" s="316"/>
      <c r="E28" s="316"/>
      <c r="F28" s="316"/>
    </row>
    <row r="29" spans="1:12" hidden="1" outlineLevel="1" x14ac:dyDescent="0.2">
      <c r="A29" s="316"/>
      <c r="B29" s="316"/>
      <c r="C29" s="316"/>
      <c r="D29" s="316"/>
      <c r="E29" s="316"/>
      <c r="F29" s="316"/>
    </row>
    <row r="30" spans="1:12" hidden="1" outlineLevel="1" x14ac:dyDescent="0.2">
      <c r="J30" s="229"/>
      <c r="K30" s="229"/>
      <c r="L30" s="229"/>
    </row>
    <row r="31" spans="1:12" hidden="1" outlineLevel="1" x14ac:dyDescent="0.2">
      <c r="J31" s="229"/>
      <c r="K31" s="229"/>
      <c r="L31" s="229"/>
    </row>
    <row r="32" spans="1:12" hidden="1" outlineLevel="1" x14ac:dyDescent="0.2">
      <c r="A32" s="190" t="s">
        <v>1023</v>
      </c>
      <c r="H32" s="15" t="s">
        <v>255</v>
      </c>
    </row>
    <row r="33" spans="1:14" hidden="1" outlineLevel="1" x14ac:dyDescent="0.2">
      <c r="H33" s="190" t="s">
        <v>29</v>
      </c>
      <c r="I33" s="197">
        <f>+D40/5</f>
        <v>27049126</v>
      </c>
    </row>
    <row r="34" spans="1:14" hidden="1" outlineLevel="1" x14ac:dyDescent="0.2">
      <c r="H34" s="190" t="s">
        <v>30</v>
      </c>
      <c r="I34" s="197">
        <f>+I33</f>
        <v>27049126</v>
      </c>
      <c r="K34" s="229"/>
    </row>
    <row r="35" spans="1:14" hidden="1" outlineLevel="1" x14ac:dyDescent="0.2">
      <c r="A35" s="25" t="s">
        <v>86</v>
      </c>
      <c r="B35" s="25"/>
      <c r="D35" s="25"/>
      <c r="E35" s="25"/>
      <c r="H35" s="190" t="s">
        <v>31</v>
      </c>
      <c r="I35" s="197">
        <f>+I34</f>
        <v>27049126</v>
      </c>
      <c r="K35" s="229"/>
    </row>
    <row r="36" spans="1:14" hidden="1" outlineLevel="1" x14ac:dyDescent="0.2">
      <c r="A36" s="321"/>
      <c r="B36" s="317"/>
      <c r="D36" s="25" t="s">
        <v>23</v>
      </c>
      <c r="E36" s="25" t="s">
        <v>7</v>
      </c>
      <c r="H36" s="190" t="s">
        <v>32</v>
      </c>
      <c r="I36" s="197">
        <f>+I35</f>
        <v>27049126</v>
      </c>
      <c r="K36" s="229"/>
      <c r="L36" s="229"/>
    </row>
    <row r="37" spans="1:14" hidden="1" outlineLevel="1" x14ac:dyDescent="0.2">
      <c r="A37" s="25" t="s">
        <v>1013</v>
      </c>
      <c r="B37" s="25" t="s">
        <v>5</v>
      </c>
      <c r="D37" s="266">
        <f>SUM(D38:D41)</f>
        <v>1148431282</v>
      </c>
      <c r="E37" s="343">
        <f>SUM(E38:E41)</f>
        <v>-420698498</v>
      </c>
      <c r="H37" s="190" t="s">
        <v>33</v>
      </c>
      <c r="I37" s="197">
        <f>+I36</f>
        <v>27049126</v>
      </c>
      <c r="K37" s="229"/>
      <c r="L37" s="242"/>
    </row>
    <row r="38" spans="1:14" hidden="1" outlineLevel="1" x14ac:dyDescent="0.2">
      <c r="A38" s="195">
        <v>130505</v>
      </c>
      <c r="B38" s="195" t="s">
        <v>1069</v>
      </c>
      <c r="D38" s="342">
        <v>315262000</v>
      </c>
      <c r="E38" s="342"/>
      <c r="G38" s="15"/>
      <c r="I38" s="323">
        <f>+NPV(11%,I33:I37)</f>
        <v>99970784.113424584</v>
      </c>
    </row>
    <row r="39" spans="1:14" hidden="1" outlineLevel="1" x14ac:dyDescent="0.2">
      <c r="A39" s="195">
        <v>130505</v>
      </c>
      <c r="B39" s="195" t="s">
        <v>1070</v>
      </c>
      <c r="D39" s="342">
        <v>312500000</v>
      </c>
      <c r="E39" s="342"/>
      <c r="F39" s="190" t="s">
        <v>195</v>
      </c>
    </row>
    <row r="40" spans="1:14" hidden="1" outlineLevel="1" x14ac:dyDescent="0.2">
      <c r="A40" s="195">
        <v>130505</v>
      </c>
      <c r="B40" s="195" t="s">
        <v>1071</v>
      </c>
      <c r="D40" s="342">
        <v>135245630</v>
      </c>
      <c r="E40" s="342">
        <f>-I43</f>
        <v>-35274846</v>
      </c>
      <c r="F40" s="190" t="s">
        <v>196</v>
      </c>
    </row>
    <row r="41" spans="1:14" hidden="1" outlineLevel="1" x14ac:dyDescent="0.2">
      <c r="A41" s="195">
        <v>130505</v>
      </c>
      <c r="B41" s="195" t="s">
        <v>1072</v>
      </c>
      <c r="D41" s="342">
        <v>385423652</v>
      </c>
      <c r="E41" s="342">
        <f>-D41</f>
        <v>-385423652</v>
      </c>
      <c r="H41" s="229" t="s">
        <v>206</v>
      </c>
      <c r="I41" s="242">
        <f>+D40</f>
        <v>135245630</v>
      </c>
      <c r="L41" s="324"/>
      <c r="M41" s="242"/>
    </row>
    <row r="42" spans="1:14" hidden="1" outlineLevel="1" x14ac:dyDescent="0.2">
      <c r="H42" s="229" t="s">
        <v>405</v>
      </c>
      <c r="I42" s="324">
        <f>+I38</f>
        <v>99970784.113424584</v>
      </c>
      <c r="L42" s="324"/>
      <c r="M42" s="324"/>
      <c r="N42" s="324"/>
    </row>
    <row r="43" spans="1:14" hidden="1" outlineLevel="1" x14ac:dyDescent="0.2">
      <c r="D43" s="190" t="s">
        <v>0</v>
      </c>
      <c r="H43" s="6" t="s">
        <v>7</v>
      </c>
      <c r="I43" s="325">
        <f>+ROUND((I41-I42),0)</f>
        <v>35274846</v>
      </c>
      <c r="K43" s="15"/>
      <c r="L43" s="323"/>
      <c r="M43" s="323"/>
      <c r="N43" s="323"/>
    </row>
    <row r="44" spans="1:14" hidden="1" outlineLevel="1" x14ac:dyDescent="0.2">
      <c r="D44" s="329"/>
    </row>
    <row r="45" spans="1:14" collapsed="1" x14ac:dyDescent="0.2"/>
    <row r="46" spans="1:14" x14ac:dyDescent="0.2">
      <c r="A46" s="191" t="s">
        <v>2157</v>
      </c>
      <c r="B46" s="192"/>
      <c r="C46" s="193"/>
      <c r="D46" s="193"/>
      <c r="E46" s="193"/>
      <c r="F46" s="192"/>
      <c r="G46" s="192"/>
      <c r="H46" s="192"/>
      <c r="I46" s="192"/>
    </row>
    <row r="47" spans="1:14" x14ac:dyDescent="0.2">
      <c r="A47" s="192"/>
      <c r="B47" s="192"/>
      <c r="C47" s="193"/>
      <c r="D47" s="193"/>
      <c r="E47" s="193"/>
      <c r="F47" s="192"/>
      <c r="G47" s="192"/>
      <c r="H47" s="192"/>
      <c r="I47" s="192"/>
    </row>
    <row r="48" spans="1:14" hidden="1" outlineLevel="1" x14ac:dyDescent="0.2">
      <c r="B48" s="15"/>
    </row>
    <row r="49" spans="1:6" hidden="1" outlineLevel="1" x14ac:dyDescent="0.2">
      <c r="A49" s="285" t="s">
        <v>1024</v>
      </c>
      <c r="B49" s="285"/>
      <c r="C49" s="285"/>
      <c r="D49" s="285"/>
      <c r="E49" s="285"/>
      <c r="F49" s="285"/>
    </row>
    <row r="50" spans="1:6" hidden="1" outlineLevel="1" x14ac:dyDescent="0.2">
      <c r="A50" s="344"/>
      <c r="B50" s="345"/>
      <c r="C50" s="345"/>
      <c r="D50" s="345"/>
      <c r="E50" s="345"/>
      <c r="F50" s="291"/>
    </row>
    <row r="51" spans="1:6" hidden="1" outlineLevel="1" x14ac:dyDescent="0.2">
      <c r="A51" s="1588" t="s">
        <v>1062</v>
      </c>
      <c r="B51" s="1589" t="s">
        <v>1063</v>
      </c>
      <c r="C51" s="1589" t="s">
        <v>1054</v>
      </c>
      <c r="D51" s="1589" t="s">
        <v>1064</v>
      </c>
      <c r="E51" s="1589" t="s">
        <v>1054</v>
      </c>
      <c r="F51" s="1580" t="s">
        <v>1053</v>
      </c>
    </row>
    <row r="52" spans="1:6" hidden="1" outlineLevel="1" x14ac:dyDescent="0.2">
      <c r="A52" s="1588"/>
      <c r="B52" s="1590"/>
      <c r="C52" s="1590"/>
      <c r="D52" s="1590"/>
      <c r="E52" s="1590"/>
      <c r="F52" s="1581"/>
    </row>
    <row r="53" spans="1:6" hidden="1" outlineLevel="1" x14ac:dyDescent="0.2">
      <c r="A53" s="1589"/>
      <c r="B53" s="1590"/>
      <c r="C53" s="1590"/>
      <c r="D53" s="1590"/>
      <c r="E53" s="1590"/>
      <c r="F53" s="1581"/>
    </row>
    <row r="54" spans="1:6" hidden="1" outlineLevel="1" x14ac:dyDescent="0.2">
      <c r="A54" s="286" t="s">
        <v>1055</v>
      </c>
      <c r="B54" s="287"/>
      <c r="C54" s="288">
        <v>0.05</v>
      </c>
      <c r="D54" s="286">
        <f>+B54*C54</f>
        <v>0</v>
      </c>
      <c r="E54" s="288">
        <v>0</v>
      </c>
      <c r="F54" s="286">
        <f>+B54*E54</f>
        <v>0</v>
      </c>
    </row>
    <row r="55" spans="1:6" hidden="1" outlineLevel="1" x14ac:dyDescent="0.2">
      <c r="A55" s="286" t="s">
        <v>1056</v>
      </c>
      <c r="B55" s="287"/>
      <c r="C55" s="288">
        <v>0.1</v>
      </c>
      <c r="D55" s="286">
        <f t="shared" ref="D55:D59" si="2">+B55*C55</f>
        <v>0</v>
      </c>
      <c r="E55" s="288">
        <v>0</v>
      </c>
      <c r="F55" s="286">
        <f t="shared" ref="F55:F59" si="3">+B55*E55</f>
        <v>0</v>
      </c>
    </row>
    <row r="56" spans="1:6" hidden="1" outlineLevel="1" x14ac:dyDescent="0.2">
      <c r="A56" s="286" t="s">
        <v>1057</v>
      </c>
      <c r="B56" s="287"/>
      <c r="C56" s="288">
        <v>0.15</v>
      </c>
      <c r="D56" s="286">
        <f t="shared" si="2"/>
        <v>0</v>
      </c>
      <c r="E56" s="288">
        <v>0.33</v>
      </c>
      <c r="F56" s="286">
        <f t="shared" si="3"/>
        <v>0</v>
      </c>
    </row>
    <row r="57" spans="1:6" hidden="1" outlineLevel="1" x14ac:dyDescent="0.2">
      <c r="A57" s="286" t="s">
        <v>1058</v>
      </c>
      <c r="B57" s="287">
        <f>+D81</f>
        <v>108196504</v>
      </c>
      <c r="C57" s="288">
        <v>0.15</v>
      </c>
      <c r="D57" s="286">
        <f t="shared" si="2"/>
        <v>16229475.6</v>
      </c>
      <c r="E57" s="288">
        <v>0.66</v>
      </c>
      <c r="F57" s="286">
        <f t="shared" si="3"/>
        <v>71409692.640000001</v>
      </c>
    </row>
    <row r="58" spans="1:6" hidden="1" outlineLevel="1" x14ac:dyDescent="0.2">
      <c r="A58" s="286" t="s">
        <v>1059</v>
      </c>
      <c r="B58" s="287">
        <f>+D82</f>
        <v>385423652</v>
      </c>
      <c r="C58" s="288">
        <v>0.15</v>
      </c>
      <c r="D58" s="286">
        <f t="shared" si="2"/>
        <v>57813547.799999997</v>
      </c>
      <c r="E58" s="288">
        <v>1</v>
      </c>
      <c r="F58" s="286">
        <f t="shared" si="3"/>
        <v>385423652</v>
      </c>
    </row>
    <row r="59" spans="1:6" hidden="1" outlineLevel="1" x14ac:dyDescent="0.2">
      <c r="A59" s="286" t="s">
        <v>1067</v>
      </c>
      <c r="B59" s="287">
        <f>+D79+D80</f>
        <v>1257851000</v>
      </c>
      <c r="C59" s="288">
        <v>0</v>
      </c>
      <c r="D59" s="286">
        <f t="shared" si="2"/>
        <v>0</v>
      </c>
      <c r="E59" s="288">
        <v>0</v>
      </c>
      <c r="F59" s="286">
        <f t="shared" si="3"/>
        <v>0</v>
      </c>
    </row>
    <row r="60" spans="1:6" hidden="1" outlineLevel="1" x14ac:dyDescent="0.2">
      <c r="A60" s="289" t="s">
        <v>990</v>
      </c>
      <c r="B60" s="289">
        <f>SUM(B54:B59)</f>
        <v>1751471156</v>
      </c>
      <c r="C60" s="289"/>
      <c r="D60" s="289">
        <f>SUM(D54:D59)</f>
        <v>74043023.399999991</v>
      </c>
      <c r="E60" s="289"/>
      <c r="F60" s="289">
        <f>SUM(F54:F59)</f>
        <v>456833344.63999999</v>
      </c>
    </row>
    <row r="61" spans="1:6" hidden="1" outlineLevel="1" x14ac:dyDescent="0.2">
      <c r="A61" s="290"/>
      <c r="B61" s="290"/>
      <c r="C61" s="290"/>
      <c r="D61" s="291"/>
      <c r="E61" s="291"/>
      <c r="F61" s="290"/>
    </row>
    <row r="62" spans="1:6" ht="25.5" hidden="1" outlineLevel="1" x14ac:dyDescent="0.2">
      <c r="A62" s="292" t="s">
        <v>1060</v>
      </c>
      <c r="B62" s="287"/>
      <c r="C62" s="293"/>
      <c r="D62" s="294">
        <f>+B62</f>
        <v>0</v>
      </c>
      <c r="E62" s="295"/>
      <c r="F62" s="296">
        <f>+F25</f>
        <v>299010668.22000003</v>
      </c>
    </row>
    <row r="63" spans="1:6" ht="25.5" hidden="1" outlineLevel="1" x14ac:dyDescent="0.2">
      <c r="A63" s="292" t="s">
        <v>1061</v>
      </c>
      <c r="B63" s="297"/>
      <c r="C63" s="298"/>
      <c r="D63" s="294">
        <f>+B63</f>
        <v>0</v>
      </c>
      <c r="E63" s="295"/>
      <c r="F63" s="296">
        <v>0</v>
      </c>
    </row>
    <row r="64" spans="1:6" ht="25.5" hidden="1" outlineLevel="1" x14ac:dyDescent="0.2">
      <c r="A64" s="341" t="s">
        <v>1068</v>
      </c>
      <c r="B64" s="299">
        <v>0</v>
      </c>
      <c r="C64" s="300"/>
      <c r="D64" s="301">
        <v>0</v>
      </c>
      <c r="E64" s="302"/>
      <c r="F64" s="303">
        <v>0</v>
      </c>
    </row>
    <row r="65" spans="1:12" hidden="1" outlineLevel="1" x14ac:dyDescent="0.2">
      <c r="A65" s="290"/>
      <c r="B65" s="290"/>
      <c r="C65" s="290"/>
      <c r="D65" s="290"/>
      <c r="E65" s="290"/>
      <c r="F65" s="290"/>
    </row>
    <row r="66" spans="1:12" hidden="1" outlineLevel="1" x14ac:dyDescent="0.2">
      <c r="A66" s="1582" t="s">
        <v>1065</v>
      </c>
      <c r="B66" s="1583"/>
      <c r="C66" s="304"/>
      <c r="D66" s="305"/>
      <c r="E66" s="306"/>
      <c r="F66" s="307">
        <f>+IF((F60-F62)&gt;0,(F60-F62),0)</f>
        <v>157822676.41999996</v>
      </c>
    </row>
    <row r="67" spans="1:12" hidden="1" outlineLevel="1" x14ac:dyDescent="0.2">
      <c r="A67" s="1584" t="s">
        <v>1073</v>
      </c>
      <c r="B67" s="1585"/>
      <c r="C67" s="308"/>
      <c r="D67" s="309"/>
      <c r="E67" s="310"/>
      <c r="F67" s="311">
        <f>+IF((F60-F62)&lt;0,(F60-F62),0)</f>
        <v>0</v>
      </c>
    </row>
    <row r="68" spans="1:12" hidden="1" outlineLevel="1" x14ac:dyDescent="0.2">
      <c r="A68" s="1586" t="s">
        <v>1066</v>
      </c>
      <c r="B68" s="1587"/>
      <c r="C68" s="312"/>
      <c r="D68" s="313"/>
      <c r="E68" s="314"/>
      <c r="F68" s="315">
        <f>+F60</f>
        <v>456833344.63999999</v>
      </c>
    </row>
    <row r="69" spans="1:12" hidden="1" outlineLevel="1" x14ac:dyDescent="0.2">
      <c r="A69" s="316"/>
      <c r="B69" s="316"/>
      <c r="C69" s="316"/>
      <c r="D69" s="316"/>
      <c r="E69" s="316"/>
      <c r="F69" s="316"/>
    </row>
    <row r="70" spans="1:12" hidden="1" outlineLevel="1" x14ac:dyDescent="0.2">
      <c r="E70" s="316"/>
      <c r="F70" s="316"/>
    </row>
    <row r="71" spans="1:12" hidden="1" outlineLevel="1" x14ac:dyDescent="0.2"/>
    <row r="72" spans="1:12" hidden="1" outlineLevel="1" x14ac:dyDescent="0.2"/>
    <row r="73" spans="1:12" hidden="1" outlineLevel="1" x14ac:dyDescent="0.2">
      <c r="H73" s="15" t="s">
        <v>255</v>
      </c>
    </row>
    <row r="74" spans="1:12" hidden="1" outlineLevel="1" x14ac:dyDescent="0.2">
      <c r="H74" s="190" t="s">
        <v>29</v>
      </c>
      <c r="I74" s="197">
        <f>+D81/4</f>
        <v>27049126</v>
      </c>
    </row>
    <row r="75" spans="1:12" hidden="1" outlineLevel="1" x14ac:dyDescent="0.2">
      <c r="H75" s="190" t="s">
        <v>30</v>
      </c>
      <c r="I75" s="197">
        <f>+I74</f>
        <v>27049126</v>
      </c>
    </row>
    <row r="76" spans="1:12" hidden="1" outlineLevel="1" x14ac:dyDescent="0.2">
      <c r="A76" s="25" t="s">
        <v>86</v>
      </c>
      <c r="B76" s="25"/>
      <c r="D76" s="25"/>
      <c r="E76" s="25"/>
      <c r="F76" s="25"/>
      <c r="H76" s="190" t="s">
        <v>31</v>
      </c>
      <c r="I76" s="197">
        <f>+I75</f>
        <v>27049126</v>
      </c>
    </row>
    <row r="77" spans="1:12" hidden="1" outlineLevel="1" x14ac:dyDescent="0.2">
      <c r="A77" s="321"/>
      <c r="B77" s="317"/>
      <c r="D77" s="25" t="s">
        <v>23</v>
      </c>
      <c r="E77" s="25" t="s">
        <v>7</v>
      </c>
      <c r="F77" s="25" t="s">
        <v>6</v>
      </c>
      <c r="H77" s="190" t="s">
        <v>32</v>
      </c>
      <c r="I77" s="197">
        <f>+I76</f>
        <v>27049126</v>
      </c>
    </row>
    <row r="78" spans="1:12" hidden="1" outlineLevel="1" x14ac:dyDescent="0.2">
      <c r="A78" s="25" t="s">
        <v>1013</v>
      </c>
      <c r="B78" s="25" t="s">
        <v>5</v>
      </c>
      <c r="D78" s="266">
        <f>SUM(D79:D82)</f>
        <v>1751471156</v>
      </c>
      <c r="E78" s="343">
        <f>SUM(E79:E82)</f>
        <v>-409701712</v>
      </c>
      <c r="F78" s="194"/>
      <c r="I78" s="323">
        <f>+NPV(11%,I74:I77)</f>
        <v>83918444.365901291</v>
      </c>
      <c r="K78" s="229" t="s">
        <v>206</v>
      </c>
      <c r="L78" s="242">
        <f>+D81</f>
        <v>108196504</v>
      </c>
    </row>
    <row r="79" spans="1:12" hidden="1" outlineLevel="1" x14ac:dyDescent="0.2">
      <c r="A79" s="195">
        <v>130505</v>
      </c>
      <c r="B79" s="195" t="s">
        <v>1069</v>
      </c>
      <c r="D79" s="342">
        <v>645325000</v>
      </c>
      <c r="E79" s="342"/>
      <c r="F79" s="322"/>
      <c r="G79" s="15"/>
      <c r="K79" s="229" t="s">
        <v>405</v>
      </c>
      <c r="L79" s="324">
        <f>+I78</f>
        <v>83918444.365901291</v>
      </c>
    </row>
    <row r="80" spans="1:12" hidden="1" outlineLevel="1" x14ac:dyDescent="0.2">
      <c r="A80" s="195">
        <v>130505</v>
      </c>
      <c r="B80" s="195" t="s">
        <v>1070</v>
      </c>
      <c r="D80" s="342">
        <v>612526000</v>
      </c>
      <c r="E80" s="342"/>
      <c r="F80" s="322"/>
      <c r="K80" s="6" t="s">
        <v>7</v>
      </c>
      <c r="L80" s="325">
        <f>+ROUND((L78-L79),0)</f>
        <v>24278060</v>
      </c>
    </row>
    <row r="81" spans="1:9" hidden="1" outlineLevel="1" x14ac:dyDescent="0.2">
      <c r="A81" s="195">
        <v>130505</v>
      </c>
      <c r="B81" s="195" t="s">
        <v>1071</v>
      </c>
      <c r="D81" s="342">
        <v>108196504</v>
      </c>
      <c r="E81" s="342">
        <f>-L80</f>
        <v>-24278060</v>
      </c>
      <c r="F81" s="322"/>
      <c r="G81" s="190" t="s">
        <v>195</v>
      </c>
    </row>
    <row r="82" spans="1:9" hidden="1" outlineLevel="1" x14ac:dyDescent="0.2">
      <c r="A82" s="195">
        <v>130505</v>
      </c>
      <c r="B82" s="195" t="s">
        <v>1072</v>
      </c>
      <c r="D82" s="342">
        <v>385423652</v>
      </c>
      <c r="E82" s="342">
        <f>-D82</f>
        <v>-385423652</v>
      </c>
      <c r="F82" s="322"/>
      <c r="G82" s="190" t="s">
        <v>196</v>
      </c>
    </row>
    <row r="83" spans="1:9" hidden="1" outlineLevel="1" x14ac:dyDescent="0.2"/>
    <row r="84" spans="1:9" hidden="1" outlineLevel="1" x14ac:dyDescent="0.2">
      <c r="D84" s="190" t="s">
        <v>0</v>
      </c>
    </row>
    <row r="85" spans="1:9" hidden="1" outlineLevel="1" x14ac:dyDescent="0.2"/>
    <row r="86" spans="1:9" hidden="1" outlineLevel="1" x14ac:dyDescent="0.2">
      <c r="C86" s="333"/>
      <c r="D86" s="334"/>
      <c r="E86" s="229"/>
      <c r="F86" s="229"/>
      <c r="G86" s="229"/>
      <c r="H86" s="229"/>
    </row>
    <row r="87" spans="1:9" hidden="1" outlineLevel="1" x14ac:dyDescent="0.2">
      <c r="A87" s="190" t="s">
        <v>369</v>
      </c>
      <c r="D87" s="342">
        <f>+F66+F67</f>
        <v>157822676.41999996</v>
      </c>
    </row>
    <row r="88" spans="1:9" hidden="1" outlineLevel="1" x14ac:dyDescent="0.2">
      <c r="A88" s="190" t="s">
        <v>370</v>
      </c>
      <c r="D88" s="342">
        <f>-(E78-E37)</f>
        <v>-10996786</v>
      </c>
    </row>
    <row r="89" spans="1:9" collapsed="1" x14ac:dyDescent="0.2"/>
    <row r="93" spans="1:9" x14ac:dyDescent="0.2">
      <c r="A93" s="191" t="s">
        <v>2158</v>
      </c>
      <c r="B93" s="192"/>
      <c r="C93" s="193"/>
      <c r="D93" s="193"/>
      <c r="E93" s="193"/>
      <c r="F93" s="192"/>
      <c r="G93" s="192"/>
      <c r="H93" s="192"/>
      <c r="I93" s="192"/>
    </row>
    <row r="94" spans="1:9" x14ac:dyDescent="0.2">
      <c r="A94" s="192"/>
      <c r="B94" s="192"/>
      <c r="C94" s="193"/>
      <c r="D94" s="193"/>
      <c r="E94" s="193"/>
      <c r="F94" s="192"/>
      <c r="G94" s="192"/>
      <c r="H94" s="192"/>
      <c r="I94" s="192"/>
    </row>
    <row r="95" spans="1:9" outlineLevel="1" x14ac:dyDescent="0.2">
      <c r="B95" s="15"/>
    </row>
    <row r="96" spans="1:9" outlineLevel="1" x14ac:dyDescent="0.2">
      <c r="A96" s="285" t="s">
        <v>1024</v>
      </c>
      <c r="B96" s="285"/>
      <c r="C96" s="285"/>
      <c r="D96" s="285"/>
      <c r="E96" s="285"/>
      <c r="F96" s="285"/>
    </row>
    <row r="97" spans="1:7" outlineLevel="1" x14ac:dyDescent="0.2">
      <c r="A97" s="344"/>
      <c r="B97" s="345"/>
      <c r="C97" s="345"/>
      <c r="D97" s="345"/>
      <c r="E97" s="345"/>
      <c r="F97" s="291"/>
    </row>
    <row r="98" spans="1:7" outlineLevel="1" x14ac:dyDescent="0.2">
      <c r="A98" s="1588" t="s">
        <v>1062</v>
      </c>
      <c r="B98" s="1589" t="s">
        <v>1063</v>
      </c>
      <c r="C98" s="1589" t="s">
        <v>1054</v>
      </c>
      <c r="D98" s="1589" t="s">
        <v>1064</v>
      </c>
      <c r="E98" s="1589" t="s">
        <v>1054</v>
      </c>
      <c r="F98" s="1580" t="s">
        <v>1053</v>
      </c>
    </row>
    <row r="99" spans="1:7" ht="12.75" customHeight="1" outlineLevel="1" x14ac:dyDescent="0.2">
      <c r="A99" s="1588"/>
      <c r="B99" s="1590"/>
      <c r="C99" s="1590"/>
      <c r="D99" s="1590"/>
      <c r="E99" s="1590"/>
      <c r="F99" s="1581"/>
    </row>
    <row r="100" spans="1:7" outlineLevel="1" x14ac:dyDescent="0.2">
      <c r="A100" s="1589"/>
      <c r="B100" s="1590"/>
      <c r="C100" s="1590"/>
      <c r="D100" s="1590"/>
      <c r="E100" s="1590"/>
      <c r="F100" s="1581"/>
    </row>
    <row r="101" spans="1:7" outlineLevel="1" x14ac:dyDescent="0.2">
      <c r="A101" s="286" t="s">
        <v>1055</v>
      </c>
      <c r="B101" s="287"/>
      <c r="C101" s="288">
        <v>0.05</v>
      </c>
      <c r="D101" s="286">
        <v>0</v>
      </c>
      <c r="E101" s="288">
        <v>0</v>
      </c>
      <c r="F101" s="286">
        <f>+B101*E101</f>
        <v>0</v>
      </c>
    </row>
    <row r="102" spans="1:7" outlineLevel="1" x14ac:dyDescent="0.2">
      <c r="A102" s="286" t="s">
        <v>1056</v>
      </c>
      <c r="B102" s="287"/>
      <c r="C102" s="288">
        <v>0.1</v>
      </c>
      <c r="D102" s="286">
        <v>0</v>
      </c>
      <c r="E102" s="288">
        <v>0</v>
      </c>
      <c r="F102" s="286">
        <f t="shared" ref="F102:F106" si="4">+B102*E102</f>
        <v>0</v>
      </c>
    </row>
    <row r="103" spans="1:7" outlineLevel="1" x14ac:dyDescent="0.2">
      <c r="A103" s="286" t="s">
        <v>1057</v>
      </c>
      <c r="B103" s="287"/>
      <c r="C103" s="288">
        <v>0.15</v>
      </c>
      <c r="D103" s="286">
        <v>0</v>
      </c>
      <c r="E103" s="288">
        <v>0.33</v>
      </c>
      <c r="F103" s="286">
        <f t="shared" si="4"/>
        <v>0</v>
      </c>
    </row>
    <row r="104" spans="1:7" outlineLevel="1" x14ac:dyDescent="0.2">
      <c r="A104" s="286" t="s">
        <v>1058</v>
      </c>
      <c r="B104" s="287"/>
      <c r="C104" s="288">
        <v>0.15</v>
      </c>
      <c r="D104" s="286">
        <f t="shared" ref="D104:D106" si="5">+B104*C104</f>
        <v>0</v>
      </c>
      <c r="E104" s="288">
        <v>0.66</v>
      </c>
      <c r="F104" s="286">
        <f t="shared" si="4"/>
        <v>0</v>
      </c>
    </row>
    <row r="105" spans="1:7" outlineLevel="1" x14ac:dyDescent="0.2">
      <c r="A105" s="286" t="s">
        <v>1059</v>
      </c>
      <c r="B105" s="287"/>
      <c r="C105" s="288">
        <v>0.15</v>
      </c>
      <c r="D105" s="286">
        <f t="shared" si="5"/>
        <v>0</v>
      </c>
      <c r="E105" s="288">
        <v>1</v>
      </c>
      <c r="F105" s="286">
        <f t="shared" si="4"/>
        <v>0</v>
      </c>
    </row>
    <row r="106" spans="1:7" outlineLevel="1" x14ac:dyDescent="0.2">
      <c r="A106" s="286" t="s">
        <v>1067</v>
      </c>
      <c r="B106" s="287"/>
      <c r="C106" s="288">
        <v>0</v>
      </c>
      <c r="D106" s="286">
        <f t="shared" si="5"/>
        <v>0</v>
      </c>
      <c r="E106" s="288">
        <v>0</v>
      </c>
      <c r="F106" s="286">
        <f t="shared" si="4"/>
        <v>0</v>
      </c>
    </row>
    <row r="107" spans="1:7" outlineLevel="1" x14ac:dyDescent="0.2">
      <c r="A107" s="289" t="s">
        <v>990</v>
      </c>
      <c r="B107" s="289">
        <f>SUM(B101:B106)</f>
        <v>0</v>
      </c>
      <c r="C107" s="289"/>
      <c r="D107" s="289">
        <f>SUM(D101:D106)</f>
        <v>0</v>
      </c>
      <c r="E107" s="289"/>
      <c r="F107" s="289">
        <f>SUM(F101:F106)</f>
        <v>0</v>
      </c>
    </row>
    <row r="108" spans="1:7" outlineLevel="1" x14ac:dyDescent="0.2">
      <c r="A108" s="290"/>
      <c r="B108" s="290"/>
      <c r="C108" s="290"/>
      <c r="D108" s="291"/>
      <c r="E108" s="291"/>
      <c r="F108" s="290"/>
    </row>
    <row r="109" spans="1:7" ht="25.5" outlineLevel="1" x14ac:dyDescent="0.2">
      <c r="A109" s="292" t="s">
        <v>1060</v>
      </c>
      <c r="B109" s="287"/>
      <c r="C109" s="293"/>
      <c r="D109" s="294">
        <f>+B109</f>
        <v>0</v>
      </c>
      <c r="E109" s="295"/>
      <c r="F109" s="296">
        <f>+F68</f>
        <v>456833344.63999999</v>
      </c>
      <c r="G109" s="197"/>
    </row>
    <row r="110" spans="1:7" ht="25.5" outlineLevel="1" x14ac:dyDescent="0.2">
      <c r="A110" s="292" t="s">
        <v>1061</v>
      </c>
      <c r="B110" s="297"/>
      <c r="C110" s="298"/>
      <c r="D110" s="294">
        <f>+B110</f>
        <v>0</v>
      </c>
      <c r="E110" s="295"/>
      <c r="F110" s="296">
        <f>+D127*0</f>
        <v>0</v>
      </c>
    </row>
    <row r="111" spans="1:7" ht="25.5" outlineLevel="1" x14ac:dyDescent="0.2">
      <c r="A111" s="341" t="s">
        <v>1068</v>
      </c>
      <c r="B111" s="299">
        <v>0</v>
      </c>
      <c r="C111" s="300"/>
      <c r="D111" s="301">
        <v>0</v>
      </c>
      <c r="E111" s="302"/>
      <c r="F111" s="303">
        <v>0</v>
      </c>
    </row>
    <row r="112" spans="1:7" outlineLevel="1" x14ac:dyDescent="0.2">
      <c r="A112" s="290"/>
      <c r="B112" s="290"/>
      <c r="C112" s="290"/>
      <c r="D112" s="290"/>
      <c r="E112" s="290"/>
      <c r="F112" s="290"/>
    </row>
    <row r="113" spans="1:12" outlineLevel="1" x14ac:dyDescent="0.2">
      <c r="A113" s="1582" t="s">
        <v>1065</v>
      </c>
      <c r="B113" s="1583"/>
      <c r="C113" s="304"/>
      <c r="D113" s="305"/>
      <c r="E113" s="306"/>
      <c r="F113" s="307">
        <f>+IF((F107-F109)&gt;0,(F107-F109),0)</f>
        <v>0</v>
      </c>
    </row>
    <row r="114" spans="1:12" ht="12.75" customHeight="1" outlineLevel="1" x14ac:dyDescent="0.2">
      <c r="A114" s="1584" t="s">
        <v>1073</v>
      </c>
      <c r="B114" s="1585"/>
      <c r="C114" s="308"/>
      <c r="D114" s="309"/>
      <c r="E114" s="310"/>
      <c r="F114" s="311">
        <f>+IF((F107-F109+F110)&lt;0,(F107-F109+F110),0)</f>
        <v>-456833344.63999999</v>
      </c>
    </row>
    <row r="115" spans="1:12" ht="12.75" customHeight="1" outlineLevel="1" x14ac:dyDescent="0.2">
      <c r="A115" s="1586" t="s">
        <v>1066</v>
      </c>
      <c r="B115" s="1587"/>
      <c r="C115" s="312"/>
      <c r="D115" s="313"/>
      <c r="E115" s="314"/>
      <c r="F115" s="315">
        <f>+F107</f>
        <v>0</v>
      </c>
    </row>
    <row r="116" spans="1:12" ht="12.75" customHeight="1" outlineLevel="1" x14ac:dyDescent="0.2">
      <c r="A116" s="316"/>
      <c r="B116" s="316"/>
      <c r="C116" s="316"/>
      <c r="D116" s="316"/>
      <c r="E116" s="316"/>
      <c r="F116" s="316"/>
    </row>
    <row r="117" spans="1:12" outlineLevel="1" x14ac:dyDescent="0.2">
      <c r="E117" s="316"/>
      <c r="F117" s="316"/>
    </row>
    <row r="118" spans="1:12" outlineLevel="1" x14ac:dyDescent="0.2"/>
    <row r="119" spans="1:12" outlineLevel="1" x14ac:dyDescent="0.2"/>
    <row r="120" spans="1:12" outlineLevel="1" x14ac:dyDescent="0.2">
      <c r="H120" s="15" t="s">
        <v>255</v>
      </c>
    </row>
    <row r="121" spans="1:12" outlineLevel="1" x14ac:dyDescent="0.2">
      <c r="A121" s="25" t="s">
        <v>86</v>
      </c>
      <c r="B121" s="25"/>
      <c r="C121" s="25"/>
      <c r="D121" s="25"/>
      <c r="E121" s="25"/>
      <c r="H121" s="190" t="s">
        <v>29</v>
      </c>
      <c r="I121" s="197">
        <f>+D126/3</f>
        <v>27049126</v>
      </c>
    </row>
    <row r="122" spans="1:12" outlineLevel="1" x14ac:dyDescent="0.2">
      <c r="A122" s="321"/>
      <c r="B122" s="317"/>
      <c r="D122" s="25" t="s">
        <v>23</v>
      </c>
      <c r="E122" s="25" t="s">
        <v>7</v>
      </c>
      <c r="H122" s="190" t="s">
        <v>30</v>
      </c>
      <c r="I122" s="197">
        <f>+I121</f>
        <v>27049126</v>
      </c>
    </row>
    <row r="123" spans="1:12" outlineLevel="1" x14ac:dyDescent="0.2">
      <c r="A123" s="25" t="s">
        <v>1013</v>
      </c>
      <c r="B123" s="25" t="s">
        <v>5</v>
      </c>
      <c r="D123" s="266">
        <f>SUM(D124:D127)</f>
        <v>2634181230</v>
      </c>
      <c r="E123" s="343">
        <f>SUM(E124:E127)</f>
        <v>-403327671</v>
      </c>
      <c r="H123" s="190" t="s">
        <v>31</v>
      </c>
      <c r="I123" s="197">
        <f>+I122</f>
        <v>27049126</v>
      </c>
      <c r="K123" s="229" t="s">
        <v>206</v>
      </c>
      <c r="L123" s="336">
        <f>+D126</f>
        <v>81147378</v>
      </c>
    </row>
    <row r="124" spans="1:12" outlineLevel="1" x14ac:dyDescent="0.2">
      <c r="A124" s="195">
        <v>130505</v>
      </c>
      <c r="B124" s="195" t="s">
        <v>1069</v>
      </c>
      <c r="D124" s="342">
        <v>1252356200</v>
      </c>
      <c r="E124" s="342"/>
      <c r="G124" s="15"/>
      <c r="I124" s="335">
        <f>+NPV(13.58%,I121:I123)</f>
        <v>63243358.913746484</v>
      </c>
      <c r="K124" s="229" t="s">
        <v>869</v>
      </c>
      <c r="L124" s="336">
        <f>+I124</f>
        <v>63243358.913746484</v>
      </c>
    </row>
    <row r="125" spans="1:12" outlineLevel="1" x14ac:dyDescent="0.2">
      <c r="A125" s="195">
        <v>130505</v>
      </c>
      <c r="B125" s="195" t="s">
        <v>1070</v>
      </c>
      <c r="D125" s="342">
        <v>915254000</v>
      </c>
      <c r="E125" s="342"/>
      <c r="K125" s="6" t="s">
        <v>7</v>
      </c>
      <c r="L125" s="337">
        <f>+ROUND((L123-L124),0)</f>
        <v>17904019</v>
      </c>
    </row>
    <row r="126" spans="1:12" outlineLevel="1" x14ac:dyDescent="0.2">
      <c r="A126" s="195">
        <v>130505</v>
      </c>
      <c r="B126" s="195" t="s">
        <v>1071</v>
      </c>
      <c r="D126" s="342">
        <v>81147378</v>
      </c>
      <c r="E126" s="342">
        <f>-L125</f>
        <v>-17904019</v>
      </c>
      <c r="G126" s="190" t="s">
        <v>195</v>
      </c>
    </row>
    <row r="127" spans="1:12" outlineLevel="1" x14ac:dyDescent="0.2">
      <c r="A127" s="195">
        <v>130505</v>
      </c>
      <c r="B127" s="195" t="s">
        <v>1072</v>
      </c>
      <c r="D127" s="342">
        <v>385423652</v>
      </c>
      <c r="E127" s="342">
        <f>-D127</f>
        <v>-385423652</v>
      </c>
      <c r="G127" s="190" t="s">
        <v>196</v>
      </c>
    </row>
    <row r="128" spans="1:12" outlineLevel="1" x14ac:dyDescent="0.2"/>
    <row r="129" spans="1:9" outlineLevel="1" x14ac:dyDescent="0.2">
      <c r="D129" s="190" t="s">
        <v>0</v>
      </c>
      <c r="G129" s="190" t="s">
        <v>870</v>
      </c>
      <c r="H129" s="197">
        <f>+E123</f>
        <v>-403327671</v>
      </c>
    </row>
    <row r="130" spans="1:9" outlineLevel="1" x14ac:dyDescent="0.2">
      <c r="G130" s="190" t="s">
        <v>871</v>
      </c>
      <c r="H130" s="197">
        <f>+E78</f>
        <v>-409701712</v>
      </c>
    </row>
    <row r="131" spans="1:9" outlineLevel="1" x14ac:dyDescent="0.2">
      <c r="A131" s="190" t="s">
        <v>1265</v>
      </c>
      <c r="D131" s="342">
        <f>+F113+F114</f>
        <v>-456833344.63999999</v>
      </c>
      <c r="G131" s="15" t="s">
        <v>235</v>
      </c>
      <c r="H131" s="338">
        <f>+H129-H130</f>
        <v>6374041</v>
      </c>
      <c r="I131" s="15" t="s">
        <v>872</v>
      </c>
    </row>
    <row r="132" spans="1:9" outlineLevel="1" x14ac:dyDescent="0.2">
      <c r="A132" s="190" t="s">
        <v>1266</v>
      </c>
      <c r="D132" s="342">
        <f>-(E123-E78)</f>
        <v>-6374041</v>
      </c>
    </row>
  </sheetData>
  <mergeCells count="27">
    <mergeCell ref="C10:C12"/>
    <mergeCell ref="D10:D12"/>
    <mergeCell ref="E10:E12"/>
    <mergeCell ref="F10:F12"/>
    <mergeCell ref="A25:B25"/>
    <mergeCell ref="A114:B114"/>
    <mergeCell ref="A115:B115"/>
    <mergeCell ref="A113:B113"/>
    <mergeCell ref="A10:A12"/>
    <mergeCell ref="B10:B12"/>
    <mergeCell ref="A26:B26"/>
    <mergeCell ref="A27:B27"/>
    <mergeCell ref="F51:F53"/>
    <mergeCell ref="A66:B66"/>
    <mergeCell ref="A67:B67"/>
    <mergeCell ref="A68:B68"/>
    <mergeCell ref="A98:A100"/>
    <mergeCell ref="B98:B100"/>
    <mergeCell ref="C98:C100"/>
    <mergeCell ref="D98:D100"/>
    <mergeCell ref="E98:E100"/>
    <mergeCell ref="F98:F100"/>
    <mergeCell ref="A51:A53"/>
    <mergeCell ref="B51:B53"/>
    <mergeCell ref="C51:C53"/>
    <mergeCell ref="D51:D53"/>
    <mergeCell ref="E51:E53"/>
  </mergeCells>
  <phoneticPr fontId="6" type="noConversion"/>
  <dataValidations count="5">
    <dataValidation type="whole" allowBlank="1" showInputMessage="1" showErrorMessage="1" error="Digite valores positivos sin decimales_x000a_" prompt="Digite en esta celda el valor que se castiga durante el año al gasto o costo desde la cuenta de cartera, como también el cruce durante el año de la cuenta de deterioro contra  la cuenta de cartera. (Lógicamente cumpliendo art. 146 del ET)." sqref="B22 B63 B110" xr:uid="{00000000-0002-0000-1300-000000000000}">
      <formula1>0</formula1>
      <formula2>9.99999999999999E+23</formula2>
    </dataValidation>
    <dataValidation allowBlank="1" showInputMessage="1" showErrorMessage="1" prompt="Digite el valor contable del saldo de la cartera de la cartera no vencida 1-90 días" sqref="B18 B59" xr:uid="{00000000-0002-0000-1300-000001000000}"/>
    <dataValidation type="whole" allowBlank="1" showInputMessage="1" showErrorMessage="1" error="Digite valores positivos sin decimales_x000a_" prompt="Digite el valor de la deducción  por deudas manifiestamente perdidas o sin valor. (Recomendamos ver artículo 146 del ET) y nuestro manual" sqref="C22 C63 C110" xr:uid="{00000000-0002-0000-1300-000002000000}">
      <formula1>0</formula1>
      <formula2>9.99999999999999E+23</formula2>
    </dataValidation>
    <dataValidation type="whole" allowBlank="1" showInputMessage="1" showErrorMessage="1" error="Digite valores positivos sin decimales_x000a_" prompt="Digite el saldo fiscal del deterioro de cartera declarada en  el año gravable anterior.  (Cuenta del activo), si no viene declarando saldo fiscal digite cero (0)_x000a__x000a_" sqref="B21:C21 B62:C62 B109:C109" xr:uid="{00000000-0002-0000-1300-000003000000}">
      <formula1>0</formula1>
      <formula2>9.99999999999999E+26</formula2>
    </dataValidation>
    <dataValidation allowBlank="1" showInputMessage="1" showErrorMessage="1" prompt="Digite el valor contable del saldo de la cartera de acuerdo al rango de edades." sqref="C13:C18 B13:B17 C54:C59 B54:B58 B101:C106" xr:uid="{00000000-0002-0000-1300-000004000000}"/>
  </dataValidations>
  <pageMargins left="0.39370078740157483" right="0.39370078740157483" top="0.39370078740157483" bottom="0.39370078740157483" header="0" footer="0"/>
  <pageSetup orientation="landscape" horizontalDpi="120" verticalDpi="144"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F180"/>
  <sheetViews>
    <sheetView showGridLines="0" zoomScale="115" zoomScaleNormal="115" workbookViewId="0">
      <pane ySplit="1" topLeftCell="A168" activePane="bottomLeft" state="frozen"/>
      <selection pane="bottomLeft" activeCell="F132" sqref="F132"/>
    </sheetView>
  </sheetViews>
  <sheetFormatPr baseColWidth="10" defaultRowHeight="12.75" outlineLevelRow="1" x14ac:dyDescent="0.2"/>
  <cols>
    <col min="1" max="1" width="11.42578125" style="190"/>
    <col min="2" max="2" width="26.42578125" style="190" customWidth="1"/>
    <col min="3" max="3" width="21.7109375" style="190" bestFit="1" customWidth="1"/>
    <col min="4" max="4" width="18.42578125" style="190" customWidth="1"/>
    <col min="5" max="5" width="19.140625" style="190" customWidth="1"/>
    <col min="6" max="6" width="18.42578125" style="190" customWidth="1"/>
    <col min="7" max="7" width="17.42578125" style="190" bestFit="1" customWidth="1"/>
    <col min="8" max="8" width="18.140625" style="190" customWidth="1"/>
    <col min="9" max="9" width="20.7109375" style="190" customWidth="1"/>
    <col min="10" max="10" width="19.140625" style="190" customWidth="1"/>
    <col min="11" max="11" width="16.28515625" style="229" bestFit="1" customWidth="1"/>
    <col min="12" max="12" width="16.140625" style="190" customWidth="1"/>
    <col min="13" max="13" width="11.42578125" style="190"/>
    <col min="14" max="14" width="21.140625" style="190" customWidth="1"/>
    <col min="15" max="16384" width="11.42578125" style="190"/>
  </cols>
  <sheetData>
    <row r="1" spans="1:12" s="189" customFormat="1" x14ac:dyDescent="0.2">
      <c r="A1" s="187"/>
      <c r="B1" s="188"/>
      <c r="C1" s="187"/>
      <c r="K1" s="272"/>
    </row>
    <row r="3" spans="1:12" x14ac:dyDescent="0.2">
      <c r="A3" s="15" t="s">
        <v>93</v>
      </c>
      <c r="E3" s="197"/>
    </row>
    <row r="4" spans="1:12" x14ac:dyDescent="0.2">
      <c r="A4" s="15"/>
      <c r="E4" s="197"/>
    </row>
    <row r="5" spans="1:12" s="192" customFormat="1" x14ac:dyDescent="0.2">
      <c r="A5" s="191" t="s">
        <v>2156</v>
      </c>
      <c r="C5" s="193"/>
      <c r="D5" s="193"/>
      <c r="E5" s="193"/>
    </row>
    <row r="6" spans="1:12" s="192" customFormat="1" x14ac:dyDescent="0.2">
      <c r="C6" s="193"/>
      <c r="D6" s="193"/>
      <c r="E6" s="193"/>
    </row>
    <row r="7" spans="1:12" hidden="1" outlineLevel="1" x14ac:dyDescent="0.2">
      <c r="B7" s="15" t="s">
        <v>0</v>
      </c>
    </row>
    <row r="8" spans="1:12" hidden="1" outlineLevel="1" x14ac:dyDescent="0.2">
      <c r="A8" s="25" t="s">
        <v>1013</v>
      </c>
      <c r="B8" s="262" t="s">
        <v>1</v>
      </c>
      <c r="C8" s="262" t="s">
        <v>1007</v>
      </c>
      <c r="D8" s="262" t="s">
        <v>20</v>
      </c>
      <c r="E8" s="262" t="s">
        <v>177</v>
      </c>
      <c r="F8" s="25" t="s">
        <v>35</v>
      </c>
      <c r="I8" s="197"/>
    </row>
    <row r="9" spans="1:12" hidden="1" outlineLevel="1" x14ac:dyDescent="0.2">
      <c r="A9" s="195">
        <v>140501</v>
      </c>
      <c r="B9" s="195" t="s">
        <v>63</v>
      </c>
      <c r="C9" s="342">
        <f>+C20</f>
        <v>652890000</v>
      </c>
      <c r="D9" s="342"/>
      <c r="E9" s="342">
        <f t="shared" ref="E9:E10" si="0">+C9+D9</f>
        <v>652890000</v>
      </c>
      <c r="F9" s="342">
        <f>+E9</f>
        <v>652890000</v>
      </c>
      <c r="I9" s="197"/>
    </row>
    <row r="10" spans="1:12" hidden="1" outlineLevel="1" x14ac:dyDescent="0.2">
      <c r="A10" s="195">
        <v>143005</v>
      </c>
      <c r="B10" s="195" t="s">
        <v>64</v>
      </c>
      <c r="C10" s="342">
        <f>+C29</f>
        <v>579550000</v>
      </c>
      <c r="D10" s="342"/>
      <c r="E10" s="342">
        <f t="shared" si="0"/>
        <v>579550000</v>
      </c>
      <c r="F10" s="342">
        <f>+E10</f>
        <v>579550000</v>
      </c>
      <c r="I10" s="197"/>
    </row>
    <row r="11" spans="1:12" hidden="1" outlineLevel="1" x14ac:dyDescent="0.2">
      <c r="A11" s="195">
        <v>144505</v>
      </c>
      <c r="B11" s="195" t="s">
        <v>1082</v>
      </c>
      <c r="C11" s="342">
        <f>+D39</f>
        <v>900326748</v>
      </c>
      <c r="D11" s="342"/>
      <c r="E11" s="342">
        <f>+C11+D11</f>
        <v>900326748</v>
      </c>
      <c r="F11" s="342">
        <f>+C11</f>
        <v>900326748</v>
      </c>
      <c r="I11" s="197"/>
    </row>
    <row r="12" spans="1:12" hidden="1" outlineLevel="1" x14ac:dyDescent="0.2">
      <c r="A12" s="195">
        <v>144597</v>
      </c>
      <c r="B12" s="195" t="s">
        <v>1083</v>
      </c>
      <c r="C12" s="342"/>
      <c r="D12" s="342">
        <f>+E39-D39</f>
        <v>186379252</v>
      </c>
      <c r="E12" s="342">
        <f t="shared" ref="E12:E13" si="1">+C12+D12</f>
        <v>186379252</v>
      </c>
      <c r="F12" s="342">
        <f>+C12</f>
        <v>0</v>
      </c>
      <c r="I12" s="197"/>
    </row>
    <row r="13" spans="1:12" hidden="1" outlineLevel="1" x14ac:dyDescent="0.2">
      <c r="A13" s="195">
        <v>149905</v>
      </c>
      <c r="B13" s="195" t="s">
        <v>284</v>
      </c>
      <c r="C13" s="342">
        <v>0</v>
      </c>
      <c r="D13" s="342">
        <f>+E29</f>
        <v>-14800000</v>
      </c>
      <c r="E13" s="342">
        <f t="shared" si="1"/>
        <v>-14800000</v>
      </c>
      <c r="F13" s="342">
        <f>+C13</f>
        <v>0</v>
      </c>
      <c r="L13" s="240"/>
    </row>
    <row r="14" spans="1:12" hidden="1" outlineLevel="1" x14ac:dyDescent="0.2">
      <c r="A14" s="194"/>
      <c r="B14" s="25" t="s">
        <v>8</v>
      </c>
      <c r="C14" s="266">
        <f>SUM(C9:C13)</f>
        <v>2132766748</v>
      </c>
      <c r="D14" s="266">
        <f>SUM(D9:D13)</f>
        <v>171579252</v>
      </c>
      <c r="E14" s="266">
        <f>SUM(E9:E13)</f>
        <v>2304346000</v>
      </c>
      <c r="F14" s="266">
        <f>SUM(F9:F13)</f>
        <v>2132766748</v>
      </c>
      <c r="L14" s="240"/>
    </row>
    <row r="15" spans="1:12" hidden="1" outlineLevel="1" x14ac:dyDescent="0.2">
      <c r="L15" s="240"/>
    </row>
    <row r="16" spans="1:12" hidden="1" outlineLevel="1" x14ac:dyDescent="0.2">
      <c r="J16" s="240"/>
      <c r="K16" s="190"/>
      <c r="L16" s="240"/>
    </row>
    <row r="17" spans="2:18" hidden="1" outlineLevel="1" x14ac:dyDescent="0.2">
      <c r="K17" s="190"/>
    </row>
    <row r="18" spans="2:18" hidden="1" outlineLevel="1" x14ac:dyDescent="0.2">
      <c r="B18" s="326" t="s">
        <v>94</v>
      </c>
      <c r="C18" s="327"/>
      <c r="D18" s="327"/>
      <c r="E18" s="327"/>
      <c r="K18" s="190"/>
    </row>
    <row r="19" spans="2:18" ht="25.5" hidden="1" outlineLevel="1" x14ac:dyDescent="0.2">
      <c r="B19" s="262" t="s">
        <v>21</v>
      </c>
      <c r="C19" s="262" t="s">
        <v>1010</v>
      </c>
      <c r="D19" s="262" t="s">
        <v>135</v>
      </c>
      <c r="E19" s="262" t="s">
        <v>7</v>
      </c>
      <c r="J19" s="240"/>
      <c r="L19" s="240"/>
    </row>
    <row r="20" spans="2:18" hidden="1" outlineLevel="1" x14ac:dyDescent="0.2">
      <c r="B20" s="25" t="str">
        <f>+B9</f>
        <v>Materia prima</v>
      </c>
      <c r="C20" s="266">
        <f>SUM(C21:C23)</f>
        <v>652890000</v>
      </c>
      <c r="D20" s="266">
        <f>SUM(D21:D23)</f>
        <v>764500000</v>
      </c>
      <c r="E20" s="266">
        <f>SUM(E21:E23)</f>
        <v>0</v>
      </c>
    </row>
    <row r="21" spans="2:18" hidden="1" outlineLevel="1" x14ac:dyDescent="0.2">
      <c r="B21" s="195" t="s">
        <v>132</v>
      </c>
      <c r="C21" s="196">
        <v>275000000</v>
      </c>
      <c r="D21" s="196">
        <v>280000000</v>
      </c>
      <c r="E21" s="196"/>
      <c r="L21" s="240"/>
      <c r="M21" s="240"/>
      <c r="N21" s="240"/>
    </row>
    <row r="22" spans="2:18" hidden="1" outlineLevel="1" x14ac:dyDescent="0.2">
      <c r="B22" s="195" t="s">
        <v>133</v>
      </c>
      <c r="C22" s="196">
        <v>135000000</v>
      </c>
      <c r="D22" s="196">
        <v>124500000</v>
      </c>
      <c r="E22" s="196"/>
      <c r="G22" s="242"/>
      <c r="H22" s="190" t="s">
        <v>0</v>
      </c>
      <c r="L22" s="240"/>
      <c r="M22" s="240"/>
      <c r="N22" s="240"/>
      <c r="Q22" s="318"/>
    </row>
    <row r="23" spans="2:18" hidden="1" outlineLevel="1" x14ac:dyDescent="0.2">
      <c r="B23" s="195" t="s">
        <v>134</v>
      </c>
      <c r="C23" s="196">
        <v>242890000</v>
      </c>
      <c r="D23" s="196">
        <v>360000000</v>
      </c>
      <c r="E23" s="196"/>
      <c r="L23" s="240"/>
      <c r="M23" s="240"/>
      <c r="N23" s="240"/>
      <c r="R23" s="318"/>
    </row>
    <row r="24" spans="2:18" hidden="1" outlineLevel="1" x14ac:dyDescent="0.2">
      <c r="C24" s="242"/>
      <c r="K24" s="6"/>
      <c r="L24" s="339"/>
      <c r="M24" s="240"/>
      <c r="N24" s="240"/>
    </row>
    <row r="25" spans="2:18" hidden="1" outlineLevel="1" x14ac:dyDescent="0.2">
      <c r="C25" s="242"/>
      <c r="L25" s="240"/>
      <c r="M25" s="240"/>
      <c r="N25" s="240"/>
    </row>
    <row r="26" spans="2:18" hidden="1" outlineLevel="1" x14ac:dyDescent="0.2">
      <c r="C26" s="242"/>
      <c r="L26" s="240"/>
      <c r="M26" s="240"/>
      <c r="N26" s="240"/>
    </row>
    <row r="27" spans="2:18" hidden="1" outlineLevel="1" x14ac:dyDescent="0.2">
      <c r="B27" s="326" t="s">
        <v>95</v>
      </c>
      <c r="C27" s="327"/>
      <c r="D27" s="327"/>
      <c r="E27" s="327"/>
    </row>
    <row r="28" spans="2:18" ht="25.5" hidden="1" outlineLevel="1" x14ac:dyDescent="0.2">
      <c r="B28" s="262" t="s">
        <v>21</v>
      </c>
      <c r="C28" s="262" t="s">
        <v>1010</v>
      </c>
      <c r="D28" s="262" t="s">
        <v>44</v>
      </c>
      <c r="E28" s="262" t="s">
        <v>7</v>
      </c>
      <c r="G28" s="346" t="s">
        <v>136</v>
      </c>
      <c r="H28" s="346" t="s">
        <v>137</v>
      </c>
      <c r="I28" s="346" t="s">
        <v>138</v>
      </c>
      <c r="J28" s="346" t="s">
        <v>139</v>
      </c>
    </row>
    <row r="29" spans="2:18" hidden="1" outlineLevel="1" x14ac:dyDescent="0.2">
      <c r="B29" s="265" t="str">
        <f>+B10</f>
        <v>Productos terminados</v>
      </c>
      <c r="C29" s="266">
        <f>SUM(C30:C35)</f>
        <v>579550000</v>
      </c>
      <c r="D29" s="266">
        <f>SUM(D30:D35)</f>
        <v>586620000</v>
      </c>
      <c r="E29" s="343">
        <f>SUM(E30:E35)</f>
        <v>-14800000</v>
      </c>
      <c r="G29" s="195"/>
      <c r="H29" s="195"/>
      <c r="I29" s="195"/>
      <c r="J29" s="195"/>
    </row>
    <row r="30" spans="2:18" hidden="1" outlineLevel="1" x14ac:dyDescent="0.2">
      <c r="B30" s="195" t="s">
        <v>156</v>
      </c>
      <c r="C30" s="342">
        <f t="shared" ref="C30:C35" si="2">+G30*H30</f>
        <v>78000000</v>
      </c>
      <c r="D30" s="342">
        <f t="shared" ref="D30:D35" si="3">+((I30)-(I30*J30))*G30</f>
        <v>81000000</v>
      </c>
      <c r="E30" s="342"/>
      <c r="G30" s="347">
        <v>120000</v>
      </c>
      <c r="H30" s="347">
        <v>650</v>
      </c>
      <c r="I30" s="347">
        <v>750</v>
      </c>
      <c r="J30" s="348">
        <v>0.1</v>
      </c>
    </row>
    <row r="31" spans="2:18" hidden="1" outlineLevel="1" x14ac:dyDescent="0.2">
      <c r="B31" s="195" t="s">
        <v>157</v>
      </c>
      <c r="C31" s="342">
        <f t="shared" si="2"/>
        <v>100100000</v>
      </c>
      <c r="D31" s="342">
        <f t="shared" si="3"/>
        <v>106470000</v>
      </c>
      <c r="E31" s="342"/>
      <c r="G31" s="347">
        <v>182000</v>
      </c>
      <c r="H31" s="347">
        <v>550</v>
      </c>
      <c r="I31" s="347">
        <v>650</v>
      </c>
      <c r="J31" s="348">
        <v>0.1</v>
      </c>
    </row>
    <row r="32" spans="2:18" hidden="1" outlineLevel="1" x14ac:dyDescent="0.2">
      <c r="B32" s="195" t="s">
        <v>158</v>
      </c>
      <c r="C32" s="342">
        <f t="shared" si="2"/>
        <v>109200000</v>
      </c>
      <c r="D32" s="342">
        <f t="shared" si="3"/>
        <v>117000000</v>
      </c>
      <c r="E32" s="342"/>
      <c r="G32" s="347">
        <v>52000</v>
      </c>
      <c r="H32" s="347">
        <v>2100</v>
      </c>
      <c r="I32" s="347">
        <v>2500</v>
      </c>
      <c r="J32" s="348">
        <v>0.1</v>
      </c>
    </row>
    <row r="33" spans="2:10" hidden="1" outlineLevel="1" x14ac:dyDescent="0.2">
      <c r="B33" s="195" t="s">
        <v>159</v>
      </c>
      <c r="C33" s="342">
        <f t="shared" si="2"/>
        <v>87500000</v>
      </c>
      <c r="D33" s="342">
        <f t="shared" si="3"/>
        <v>88200000</v>
      </c>
      <c r="E33" s="342"/>
      <c r="G33" s="347">
        <v>35000</v>
      </c>
      <c r="H33" s="347">
        <v>2500</v>
      </c>
      <c r="I33" s="347">
        <v>2800</v>
      </c>
      <c r="J33" s="348">
        <v>0.1</v>
      </c>
    </row>
    <row r="34" spans="2:10" hidden="1" outlineLevel="1" x14ac:dyDescent="0.2">
      <c r="B34" s="195" t="s">
        <v>160</v>
      </c>
      <c r="C34" s="342">
        <f t="shared" si="2"/>
        <v>140000000</v>
      </c>
      <c r="D34" s="342">
        <f t="shared" si="3"/>
        <v>144000000</v>
      </c>
      <c r="E34" s="342"/>
      <c r="G34" s="347">
        <v>50000</v>
      </c>
      <c r="H34" s="347">
        <v>2800</v>
      </c>
      <c r="I34" s="347">
        <v>3200</v>
      </c>
      <c r="J34" s="348">
        <v>0.1</v>
      </c>
    </row>
    <row r="35" spans="2:10" hidden="1" outlineLevel="1" x14ac:dyDescent="0.2">
      <c r="B35" s="195" t="s">
        <v>161</v>
      </c>
      <c r="C35" s="342">
        <f t="shared" si="2"/>
        <v>64750000</v>
      </c>
      <c r="D35" s="342">
        <f t="shared" si="3"/>
        <v>49950000</v>
      </c>
      <c r="E35" s="342">
        <f>+D35-C35</f>
        <v>-14800000</v>
      </c>
      <c r="G35" s="347">
        <v>185000</v>
      </c>
      <c r="H35" s="347">
        <v>350</v>
      </c>
      <c r="I35" s="347">
        <v>300</v>
      </c>
      <c r="J35" s="348">
        <v>0.1</v>
      </c>
    </row>
    <row r="36" spans="2:10" hidden="1" outlineLevel="1" x14ac:dyDescent="0.2"/>
    <row r="37" spans="2:10" hidden="1" outlineLevel="1" x14ac:dyDescent="0.2"/>
    <row r="38" spans="2:10" hidden="1" outlineLevel="1" x14ac:dyDescent="0.2"/>
    <row r="39" spans="2:10" hidden="1" outlineLevel="1" x14ac:dyDescent="0.2">
      <c r="B39" s="319" t="s">
        <v>257</v>
      </c>
      <c r="C39" s="349"/>
      <c r="D39" s="350">
        <f>SUM(D42:D45)</f>
        <v>900326748</v>
      </c>
      <c r="E39" s="350">
        <f>SUM(E42:E45)</f>
        <v>1086706000</v>
      </c>
    </row>
    <row r="40" spans="2:10" hidden="1" outlineLevel="1" x14ac:dyDescent="0.2">
      <c r="C40" s="351"/>
      <c r="D40" s="352"/>
      <c r="E40" s="352"/>
    </row>
    <row r="41" spans="2:10" hidden="1" outlineLevel="1" x14ac:dyDescent="0.2">
      <c r="B41" s="353" t="s">
        <v>406</v>
      </c>
      <c r="C41" s="353" t="s">
        <v>258</v>
      </c>
      <c r="D41" s="354" t="s">
        <v>81</v>
      </c>
      <c r="E41" s="354" t="s">
        <v>234</v>
      </c>
    </row>
    <row r="42" spans="2:10" hidden="1" outlineLevel="1" x14ac:dyDescent="0.2">
      <c r="B42" s="355" t="s">
        <v>259</v>
      </c>
      <c r="C42" s="355" t="s">
        <v>260</v>
      </c>
      <c r="D42" s="342">
        <v>265830000</v>
      </c>
      <c r="E42" s="342">
        <v>326560000</v>
      </c>
      <c r="F42" s="190" t="s">
        <v>849</v>
      </c>
    </row>
    <row r="43" spans="2:10" hidden="1" outlineLevel="1" x14ac:dyDescent="0.2">
      <c r="B43" s="355" t="s">
        <v>261</v>
      </c>
      <c r="C43" s="355" t="s">
        <v>262</v>
      </c>
      <c r="D43" s="342">
        <v>365263250</v>
      </c>
      <c r="E43" s="342">
        <v>452620000</v>
      </c>
      <c r="F43" s="190" t="s">
        <v>850</v>
      </c>
    </row>
    <row r="44" spans="2:10" hidden="1" outlineLevel="1" x14ac:dyDescent="0.2">
      <c r="B44" s="355" t="s">
        <v>263</v>
      </c>
      <c r="C44" s="355" t="s">
        <v>264</v>
      </c>
      <c r="D44" s="342">
        <v>145623598</v>
      </c>
      <c r="E44" s="342">
        <v>162526000</v>
      </c>
      <c r="F44" s="190" t="s">
        <v>851</v>
      </c>
    </row>
    <row r="45" spans="2:10" hidden="1" outlineLevel="1" x14ac:dyDescent="0.2">
      <c r="B45" s="355" t="s">
        <v>265</v>
      </c>
      <c r="C45" s="355" t="s">
        <v>266</v>
      </c>
      <c r="D45" s="342">
        <v>123609900</v>
      </c>
      <c r="E45" s="342">
        <v>145000000</v>
      </c>
      <c r="F45" s="190" t="s">
        <v>852</v>
      </c>
    </row>
    <row r="46" spans="2:10" hidden="1" outlineLevel="1" x14ac:dyDescent="0.2">
      <c r="C46" s="351"/>
      <c r="D46" s="356"/>
      <c r="E46" s="356"/>
    </row>
    <row r="47" spans="2:10" hidden="1" outlineLevel="1" x14ac:dyDescent="0.2"/>
    <row r="48" spans="2:10" collapsed="1" x14ac:dyDescent="0.2"/>
    <row r="53" spans="1:9" x14ac:dyDescent="0.2">
      <c r="C53" s="357"/>
      <c r="D53" s="229"/>
      <c r="E53" s="229"/>
    </row>
    <row r="54" spans="1:9" s="192" customFormat="1" x14ac:dyDescent="0.2">
      <c r="A54" s="191" t="s">
        <v>2157</v>
      </c>
      <c r="C54" s="193"/>
      <c r="D54" s="193"/>
      <c r="E54" s="193"/>
    </row>
    <row r="55" spans="1:9" s="192" customFormat="1" x14ac:dyDescent="0.2">
      <c r="C55" s="193"/>
      <c r="D55" s="193"/>
      <c r="E55" s="193"/>
    </row>
    <row r="56" spans="1:9" hidden="1" outlineLevel="1" x14ac:dyDescent="0.2">
      <c r="B56" s="15" t="s">
        <v>0</v>
      </c>
    </row>
    <row r="57" spans="1:9" hidden="1" outlineLevel="1" x14ac:dyDescent="0.2">
      <c r="A57" s="25" t="s">
        <v>1013</v>
      </c>
      <c r="B57" s="262" t="s">
        <v>1</v>
      </c>
      <c r="C57" s="262" t="s">
        <v>1011</v>
      </c>
      <c r="D57" s="262" t="s">
        <v>20</v>
      </c>
      <c r="E57" s="262" t="s">
        <v>177</v>
      </c>
      <c r="F57" s="25" t="s">
        <v>35</v>
      </c>
      <c r="I57" s="197"/>
    </row>
    <row r="58" spans="1:9" hidden="1" outlineLevel="1" x14ac:dyDescent="0.2">
      <c r="A58" s="195">
        <v>140501</v>
      </c>
      <c r="B58" s="195" t="s">
        <v>63</v>
      </c>
      <c r="C58" s="342">
        <f>+E69</f>
        <v>579150000</v>
      </c>
      <c r="D58" s="342"/>
      <c r="E58" s="342">
        <f>+C58+D58</f>
        <v>579150000</v>
      </c>
      <c r="F58" s="342">
        <f>+E58</f>
        <v>579150000</v>
      </c>
      <c r="I58" s="197"/>
    </row>
    <row r="59" spans="1:9" hidden="1" outlineLevel="1" x14ac:dyDescent="0.2">
      <c r="A59" s="195">
        <v>143005</v>
      </c>
      <c r="B59" s="195" t="s">
        <v>64</v>
      </c>
      <c r="C59" s="342">
        <f>+C78</f>
        <v>572030000</v>
      </c>
      <c r="D59" s="342"/>
      <c r="E59" s="342">
        <f t="shared" ref="E59:E62" si="4">+C59+D59</f>
        <v>572030000</v>
      </c>
      <c r="F59" s="342">
        <f>+E59</f>
        <v>572030000</v>
      </c>
      <c r="I59" s="197"/>
    </row>
    <row r="60" spans="1:9" ht="13.5" hidden="1" customHeight="1" outlineLevel="1" x14ac:dyDescent="0.2">
      <c r="A60" s="195">
        <v>144505</v>
      </c>
      <c r="B60" s="195" t="s">
        <v>1082</v>
      </c>
      <c r="C60" s="342">
        <f>+C11+E88+H88</f>
        <v>1431326748</v>
      </c>
      <c r="D60" s="342"/>
      <c r="E60" s="342">
        <f t="shared" si="4"/>
        <v>1431326748</v>
      </c>
      <c r="F60" s="342">
        <f>+C60</f>
        <v>1431326748</v>
      </c>
      <c r="I60" s="197"/>
    </row>
    <row r="61" spans="1:9" ht="13.5" hidden="1" customHeight="1" outlineLevel="1" x14ac:dyDescent="0.2">
      <c r="A61" s="195">
        <v>144597</v>
      </c>
      <c r="B61" s="195" t="s">
        <v>1083</v>
      </c>
      <c r="C61" s="342"/>
      <c r="D61" s="342">
        <f>+J88-I88+F88+G88+D12</f>
        <v>267673252</v>
      </c>
      <c r="E61" s="342">
        <f t="shared" si="4"/>
        <v>267673252</v>
      </c>
      <c r="F61" s="342">
        <v>0</v>
      </c>
      <c r="I61" s="197"/>
    </row>
    <row r="62" spans="1:9" hidden="1" outlineLevel="1" x14ac:dyDescent="0.2">
      <c r="A62" s="195">
        <v>149905</v>
      </c>
      <c r="B62" s="195" t="s">
        <v>284</v>
      </c>
      <c r="C62" s="342">
        <v>0</v>
      </c>
      <c r="D62" s="342">
        <f>+E78</f>
        <v>-25350000</v>
      </c>
      <c r="E62" s="342">
        <f t="shared" si="4"/>
        <v>-25350000</v>
      </c>
      <c r="F62" s="342">
        <f>+C62</f>
        <v>0</v>
      </c>
    </row>
    <row r="63" spans="1:9" hidden="1" outlineLevel="1" x14ac:dyDescent="0.2">
      <c r="A63" s="194"/>
      <c r="B63" s="25" t="s">
        <v>8</v>
      </c>
      <c r="C63" s="266">
        <f>SUM(C58:C62)</f>
        <v>2582506748</v>
      </c>
      <c r="D63" s="266">
        <f>SUM(D58:D62)</f>
        <v>242323252</v>
      </c>
      <c r="E63" s="266">
        <f>SUM(E58:E62)</f>
        <v>2824830000</v>
      </c>
      <c r="F63" s="266">
        <f>SUM(F58:F62)</f>
        <v>2582506748</v>
      </c>
    </row>
    <row r="64" spans="1:9" hidden="1" outlineLevel="1" x14ac:dyDescent="0.2"/>
    <row r="65" spans="2:11" hidden="1" outlineLevel="1" x14ac:dyDescent="0.2">
      <c r="D65" s="197"/>
      <c r="K65" s="190"/>
    </row>
    <row r="66" spans="2:11" hidden="1" outlineLevel="1" x14ac:dyDescent="0.2">
      <c r="D66" s="197"/>
      <c r="K66" s="190"/>
    </row>
    <row r="67" spans="2:11" hidden="1" outlineLevel="1" x14ac:dyDescent="0.2">
      <c r="B67" s="326" t="s">
        <v>94</v>
      </c>
      <c r="C67" s="327"/>
      <c r="D67" s="327"/>
      <c r="E67" s="327"/>
      <c r="K67" s="190"/>
    </row>
    <row r="68" spans="2:11" hidden="1" outlineLevel="1" x14ac:dyDescent="0.2">
      <c r="B68" s="262" t="s">
        <v>21</v>
      </c>
      <c r="C68" s="262" t="s">
        <v>289</v>
      </c>
      <c r="D68" s="262" t="s">
        <v>290</v>
      </c>
      <c r="E68" s="262" t="s">
        <v>177</v>
      </c>
    </row>
    <row r="69" spans="2:11" hidden="1" outlineLevel="1" x14ac:dyDescent="0.2">
      <c r="B69" s="25" t="str">
        <f>+B58</f>
        <v>Materia prima</v>
      </c>
      <c r="C69" s="266">
        <f>SUM(C70:C72)</f>
        <v>652890000</v>
      </c>
      <c r="D69" s="266">
        <f>SUM(D70:D72)</f>
        <v>10874900000</v>
      </c>
      <c r="E69" s="266">
        <f>SUM(E70:E72)</f>
        <v>579150000</v>
      </c>
    </row>
    <row r="70" spans="2:11" hidden="1" outlineLevel="1" x14ac:dyDescent="0.2">
      <c r="B70" s="195" t="s">
        <v>132</v>
      </c>
      <c r="C70" s="196">
        <v>275000000</v>
      </c>
      <c r="D70" s="196">
        <v>4369550000</v>
      </c>
      <c r="E70" s="196">
        <v>315000000</v>
      </c>
    </row>
    <row r="71" spans="2:11" hidden="1" outlineLevel="1" x14ac:dyDescent="0.2">
      <c r="B71" s="195" t="s">
        <v>133</v>
      </c>
      <c r="C71" s="196">
        <v>135000000</v>
      </c>
      <c r="D71" s="196">
        <f>+C71*21.2</f>
        <v>2862000000</v>
      </c>
      <c r="E71" s="196">
        <v>122500000</v>
      </c>
      <c r="G71" s="242"/>
      <c r="H71" s="190" t="s">
        <v>0</v>
      </c>
    </row>
    <row r="72" spans="2:11" hidden="1" outlineLevel="1" x14ac:dyDescent="0.2">
      <c r="B72" s="195" t="s">
        <v>134</v>
      </c>
      <c r="C72" s="196">
        <v>242890000</v>
      </c>
      <c r="D72" s="196">
        <f>+C72*15</f>
        <v>3643350000</v>
      </c>
      <c r="E72" s="196">
        <v>141650000</v>
      </c>
    </row>
    <row r="73" spans="2:11" hidden="1" outlineLevel="1" x14ac:dyDescent="0.2">
      <c r="C73" s="242"/>
    </row>
    <row r="74" spans="2:11" hidden="1" outlineLevel="1" x14ac:dyDescent="0.2">
      <c r="C74" s="242"/>
    </row>
    <row r="75" spans="2:11" hidden="1" outlineLevel="1" x14ac:dyDescent="0.2">
      <c r="C75" s="242"/>
    </row>
    <row r="76" spans="2:11" hidden="1" outlineLevel="1" x14ac:dyDescent="0.2">
      <c r="B76" s="326" t="s">
        <v>95</v>
      </c>
      <c r="C76" s="327"/>
      <c r="D76" s="327"/>
      <c r="E76" s="327"/>
    </row>
    <row r="77" spans="2:11" ht="25.5" hidden="1" outlineLevel="1" x14ac:dyDescent="0.2">
      <c r="B77" s="262" t="s">
        <v>21</v>
      </c>
      <c r="C77" s="262" t="s">
        <v>1010</v>
      </c>
      <c r="D77" s="262" t="s">
        <v>44</v>
      </c>
      <c r="E77" s="262" t="s">
        <v>7</v>
      </c>
      <c r="G77" s="346" t="s">
        <v>136</v>
      </c>
      <c r="H77" s="346" t="s">
        <v>137</v>
      </c>
      <c r="I77" s="346" t="s">
        <v>138</v>
      </c>
      <c r="J77" s="346" t="s">
        <v>139</v>
      </c>
    </row>
    <row r="78" spans="2:11" hidden="1" outlineLevel="1" x14ac:dyDescent="0.2">
      <c r="B78" s="265" t="str">
        <f>+B59</f>
        <v>Productos terminados</v>
      </c>
      <c r="C78" s="266">
        <f>SUM(C79:C84)</f>
        <v>572030000</v>
      </c>
      <c r="D78" s="266">
        <f>SUM(D79:D84)</f>
        <v>565290000</v>
      </c>
      <c r="E78" s="343">
        <f>SUM(E79:E84)</f>
        <v>-25350000</v>
      </c>
      <c r="G78" s="195"/>
      <c r="H78" s="195"/>
      <c r="I78" s="195"/>
      <c r="J78" s="195"/>
    </row>
    <row r="79" spans="2:11" hidden="1" outlineLevel="1" x14ac:dyDescent="0.2">
      <c r="B79" s="195" t="s">
        <v>156</v>
      </c>
      <c r="C79" s="342">
        <f t="shared" ref="C79:C84" si="5">+G79*H79</f>
        <v>77280000</v>
      </c>
      <c r="D79" s="342">
        <f t="shared" ref="D79:D84" si="6">+((I79)-(I79*J79))*G79</f>
        <v>78660000</v>
      </c>
      <c r="E79" s="342"/>
      <c r="G79" s="347">
        <v>115000</v>
      </c>
      <c r="H79" s="347">
        <v>672</v>
      </c>
      <c r="I79" s="347">
        <v>760</v>
      </c>
      <c r="J79" s="348">
        <v>0.1</v>
      </c>
    </row>
    <row r="80" spans="2:11" hidden="1" outlineLevel="1" x14ac:dyDescent="0.2">
      <c r="B80" s="195" t="s">
        <v>157</v>
      </c>
      <c r="C80" s="342">
        <f t="shared" si="5"/>
        <v>70200000</v>
      </c>
      <c r="D80" s="342">
        <f t="shared" si="6"/>
        <v>80190000</v>
      </c>
      <c r="E80" s="342"/>
      <c r="G80" s="347">
        <v>135000</v>
      </c>
      <c r="H80" s="347">
        <v>520</v>
      </c>
      <c r="I80" s="347">
        <v>660</v>
      </c>
      <c r="J80" s="348">
        <v>0.1</v>
      </c>
    </row>
    <row r="81" spans="1:14" hidden="1" outlineLevel="1" x14ac:dyDescent="0.2">
      <c r="B81" s="195" t="s">
        <v>158</v>
      </c>
      <c r="C81" s="342">
        <f t="shared" si="5"/>
        <v>115500000</v>
      </c>
      <c r="D81" s="342">
        <f t="shared" si="6"/>
        <v>118125000</v>
      </c>
      <c r="E81" s="342"/>
      <c r="G81" s="347">
        <v>52500</v>
      </c>
      <c r="H81" s="347">
        <v>2200</v>
      </c>
      <c r="I81" s="347">
        <v>2500</v>
      </c>
      <c r="J81" s="348">
        <v>0.1</v>
      </c>
    </row>
    <row r="82" spans="1:14" hidden="1" outlineLevel="1" x14ac:dyDescent="0.2">
      <c r="B82" s="195" t="s">
        <v>159</v>
      </c>
      <c r="C82" s="342">
        <f t="shared" si="5"/>
        <v>89425000</v>
      </c>
      <c r="D82" s="342">
        <f t="shared" si="6"/>
        <v>91980000</v>
      </c>
      <c r="E82" s="342"/>
      <c r="G82" s="347">
        <v>36500</v>
      </c>
      <c r="H82" s="347">
        <v>2450</v>
      </c>
      <c r="I82" s="347">
        <v>2800</v>
      </c>
      <c r="J82" s="348">
        <v>0.1</v>
      </c>
    </row>
    <row r="83" spans="1:14" hidden="1" outlineLevel="1" x14ac:dyDescent="0.2">
      <c r="B83" s="195" t="s">
        <v>160</v>
      </c>
      <c r="C83" s="342">
        <f t="shared" si="5"/>
        <v>141625000</v>
      </c>
      <c r="D83" s="342">
        <f t="shared" si="6"/>
        <v>143685000</v>
      </c>
      <c r="E83" s="342"/>
      <c r="G83" s="347">
        <v>51500</v>
      </c>
      <c r="H83" s="347">
        <v>2750</v>
      </c>
      <c r="I83" s="347">
        <v>3100</v>
      </c>
      <c r="J83" s="348">
        <v>0.1</v>
      </c>
    </row>
    <row r="84" spans="1:14" hidden="1" outlineLevel="1" x14ac:dyDescent="0.2">
      <c r="B84" s="195" t="s">
        <v>161</v>
      </c>
      <c r="C84" s="342">
        <f t="shared" si="5"/>
        <v>78000000</v>
      </c>
      <c r="D84" s="342">
        <f t="shared" si="6"/>
        <v>52650000</v>
      </c>
      <c r="E84" s="342">
        <f>+D84-C84</f>
        <v>-25350000</v>
      </c>
      <c r="G84" s="347">
        <v>195000</v>
      </c>
      <c r="H84" s="347">
        <v>400</v>
      </c>
      <c r="I84" s="347">
        <v>300</v>
      </c>
      <c r="J84" s="348">
        <v>0.1</v>
      </c>
    </row>
    <row r="85" spans="1:14" hidden="1" outlineLevel="1" x14ac:dyDescent="0.2"/>
    <row r="86" spans="1:14" hidden="1" outlineLevel="1" x14ac:dyDescent="0.2">
      <c r="L86" s="190" t="s">
        <v>1084</v>
      </c>
      <c r="N86" s="359">
        <f>+D12</f>
        <v>186379252</v>
      </c>
    </row>
    <row r="87" spans="1:14" hidden="1" outlineLevel="1" x14ac:dyDescent="0.2"/>
    <row r="88" spans="1:14" hidden="1" outlineLevel="1" x14ac:dyDescent="0.2">
      <c r="B88" s="319" t="s">
        <v>257</v>
      </c>
      <c r="C88" s="349"/>
      <c r="D88" s="224">
        <f t="shared" ref="D88:J88" si="7">SUM(D91:D94)</f>
        <v>1086706000</v>
      </c>
      <c r="E88" s="224">
        <f t="shared" si="7"/>
        <v>800000000</v>
      </c>
      <c r="F88" s="224">
        <f t="shared" si="7"/>
        <v>100000000</v>
      </c>
      <c r="G88" s="224">
        <f t="shared" si="7"/>
        <v>-35000000</v>
      </c>
      <c r="H88" s="224">
        <f t="shared" si="7"/>
        <v>-269000000</v>
      </c>
      <c r="I88" s="224">
        <f t="shared" si="7"/>
        <v>1682706000</v>
      </c>
      <c r="J88" s="224">
        <f t="shared" si="7"/>
        <v>1699000000</v>
      </c>
    </row>
    <row r="89" spans="1:14" hidden="1" outlineLevel="1" x14ac:dyDescent="0.2">
      <c r="C89" s="351"/>
      <c r="D89" s="352"/>
      <c r="E89" s="352"/>
      <c r="L89" s="15"/>
    </row>
    <row r="90" spans="1:14" hidden="1" outlineLevel="1" x14ac:dyDescent="0.2">
      <c r="B90" s="353" t="s">
        <v>406</v>
      </c>
      <c r="C90" s="353" t="s">
        <v>258</v>
      </c>
      <c r="D90" s="354" t="s">
        <v>293</v>
      </c>
      <c r="E90" s="354" t="s">
        <v>290</v>
      </c>
      <c r="F90" s="354" t="s">
        <v>291</v>
      </c>
      <c r="G90" s="354" t="s">
        <v>292</v>
      </c>
      <c r="H90" s="354" t="s">
        <v>296</v>
      </c>
      <c r="I90" s="354" t="s">
        <v>177</v>
      </c>
      <c r="J90" s="354" t="s">
        <v>234</v>
      </c>
      <c r="L90" s="15" t="s">
        <v>327</v>
      </c>
      <c r="N90" s="336"/>
    </row>
    <row r="91" spans="1:14" hidden="1" outlineLevel="1" x14ac:dyDescent="0.2">
      <c r="A91" s="190" t="s">
        <v>827</v>
      </c>
      <c r="B91" s="355" t="s">
        <v>259</v>
      </c>
      <c r="C91" s="355" t="s">
        <v>260</v>
      </c>
      <c r="D91" s="342">
        <f>+E42</f>
        <v>326560000</v>
      </c>
      <c r="E91" s="342">
        <v>125000000</v>
      </c>
      <c r="F91" s="342">
        <v>65000000</v>
      </c>
      <c r="G91" s="342">
        <v>0</v>
      </c>
      <c r="H91" s="342">
        <v>-115000000</v>
      </c>
      <c r="I91" s="342">
        <f>SUM(D91:H91)</f>
        <v>401560000</v>
      </c>
      <c r="J91" s="342">
        <v>402000000</v>
      </c>
      <c r="L91" s="190" t="s">
        <v>330</v>
      </c>
      <c r="N91" s="336">
        <f>+J88-I88</f>
        <v>16294000</v>
      </c>
    </row>
    <row r="92" spans="1:14" hidden="1" outlineLevel="1" x14ac:dyDescent="0.2">
      <c r="A92" s="190" t="s">
        <v>827</v>
      </c>
      <c r="B92" s="355" t="s">
        <v>261</v>
      </c>
      <c r="C92" s="355" t="s">
        <v>262</v>
      </c>
      <c r="D92" s="342">
        <f>+E43</f>
        <v>452620000</v>
      </c>
      <c r="E92" s="342">
        <v>350000000</v>
      </c>
      <c r="F92" s="342">
        <v>0</v>
      </c>
      <c r="G92" s="342">
        <v>0</v>
      </c>
      <c r="H92" s="342">
        <v>-112000000</v>
      </c>
      <c r="I92" s="342">
        <f>SUM(D92:H92)</f>
        <v>690620000</v>
      </c>
      <c r="J92" s="342">
        <v>695000000</v>
      </c>
      <c r="L92" s="190" t="s">
        <v>297</v>
      </c>
      <c r="N92" s="336">
        <f>+F88</f>
        <v>100000000</v>
      </c>
    </row>
    <row r="93" spans="1:14" hidden="1" outlineLevel="1" x14ac:dyDescent="0.2">
      <c r="A93" s="190" t="s">
        <v>826</v>
      </c>
      <c r="B93" s="355" t="s">
        <v>263</v>
      </c>
      <c r="C93" s="355" t="s">
        <v>264</v>
      </c>
      <c r="D93" s="342">
        <f>+E44</f>
        <v>162526000</v>
      </c>
      <c r="E93" s="342">
        <v>325000000</v>
      </c>
      <c r="F93" s="342">
        <v>0</v>
      </c>
      <c r="G93" s="342">
        <v>-35000000</v>
      </c>
      <c r="H93" s="342">
        <v>0</v>
      </c>
      <c r="I93" s="342">
        <f>SUM(D93:H93)</f>
        <v>452526000</v>
      </c>
      <c r="J93" s="342">
        <v>465000000</v>
      </c>
      <c r="L93" s="190" t="s">
        <v>298</v>
      </c>
      <c r="N93" s="336">
        <f>+G88</f>
        <v>-35000000</v>
      </c>
    </row>
    <row r="94" spans="1:14" hidden="1" outlineLevel="1" x14ac:dyDescent="0.2">
      <c r="A94" s="190" t="s">
        <v>827</v>
      </c>
      <c r="B94" s="355" t="s">
        <v>265</v>
      </c>
      <c r="C94" s="355" t="s">
        <v>266</v>
      </c>
      <c r="D94" s="342">
        <f>+E45</f>
        <v>145000000</v>
      </c>
      <c r="E94" s="342">
        <v>0</v>
      </c>
      <c r="F94" s="342">
        <v>35000000</v>
      </c>
      <c r="G94" s="342">
        <v>0</v>
      </c>
      <c r="H94" s="342">
        <v>-42000000</v>
      </c>
      <c r="I94" s="342">
        <f>SUM(D94:H94)</f>
        <v>138000000</v>
      </c>
      <c r="J94" s="342">
        <v>137000000</v>
      </c>
      <c r="L94" s="15" t="s">
        <v>299</v>
      </c>
      <c r="M94" s="15"/>
      <c r="N94" s="358">
        <f>SUM(N91:N93)</f>
        <v>81294000</v>
      </c>
    </row>
    <row r="95" spans="1:14" hidden="1" outlineLevel="1" x14ac:dyDescent="0.2"/>
    <row r="96" spans="1:14" hidden="1" outlineLevel="1" x14ac:dyDescent="0.2"/>
    <row r="97" spans="2:3" hidden="1" outlineLevel="1" x14ac:dyDescent="0.2"/>
    <row r="98" spans="2:3" hidden="1" outlineLevel="1" x14ac:dyDescent="0.2">
      <c r="B98" s="15" t="s">
        <v>329</v>
      </c>
    </row>
    <row r="99" spans="2:3" hidden="1" outlineLevel="1" x14ac:dyDescent="0.2"/>
    <row r="100" spans="2:3" hidden="1" outlineLevel="1" x14ac:dyDescent="0.2">
      <c r="B100" s="15" t="s">
        <v>316</v>
      </c>
      <c r="C100" s="338">
        <f>+C101+C102</f>
        <v>1232440000</v>
      </c>
    </row>
    <row r="101" spans="2:3" hidden="1" outlineLevel="1" x14ac:dyDescent="0.2">
      <c r="B101" s="190" t="s">
        <v>63</v>
      </c>
      <c r="C101" s="197">
        <f>+C9</f>
        <v>652890000</v>
      </c>
    </row>
    <row r="102" spans="2:3" hidden="1" outlineLevel="1" x14ac:dyDescent="0.2">
      <c r="B102" s="190" t="s">
        <v>64</v>
      </c>
      <c r="C102" s="197">
        <f>+C10</f>
        <v>579550000</v>
      </c>
    </row>
    <row r="103" spans="2:3" hidden="1" outlineLevel="1" x14ac:dyDescent="0.2">
      <c r="B103" s="15" t="s">
        <v>317</v>
      </c>
      <c r="C103" s="338">
        <f>SUM(C104:C108)</f>
        <v>19227852532</v>
      </c>
    </row>
    <row r="104" spans="2:3" hidden="1" outlineLevel="1" x14ac:dyDescent="0.2">
      <c r="B104" s="190" t="s">
        <v>63</v>
      </c>
      <c r="C104" s="197">
        <f>+D69</f>
        <v>10874900000</v>
      </c>
    </row>
    <row r="105" spans="2:3" hidden="1" outlineLevel="1" x14ac:dyDescent="0.2">
      <c r="B105" s="190" t="s">
        <v>221</v>
      </c>
      <c r="C105" s="197">
        <f>+'Diario 20x2'!C130+'Diario 20x2'!C131</f>
        <v>131426532</v>
      </c>
    </row>
    <row r="106" spans="2:3" hidden="1" outlineLevel="1" x14ac:dyDescent="0.2">
      <c r="B106" s="190" t="s">
        <v>226</v>
      </c>
      <c r="C106" s="197">
        <v>456526000</v>
      </c>
    </row>
    <row r="107" spans="2:3" hidden="1" outlineLevel="1" x14ac:dyDescent="0.2">
      <c r="B107" s="190" t="s">
        <v>233</v>
      </c>
      <c r="C107" s="197">
        <v>5950000000</v>
      </c>
    </row>
    <row r="108" spans="2:3" hidden="1" outlineLevel="1" x14ac:dyDescent="0.2">
      <c r="B108" s="190" t="s">
        <v>367</v>
      </c>
      <c r="C108" s="197">
        <v>1815000000</v>
      </c>
    </row>
    <row r="109" spans="2:3" hidden="1" outlineLevel="1" x14ac:dyDescent="0.2">
      <c r="B109" s="15" t="s">
        <v>319</v>
      </c>
      <c r="C109" s="338">
        <f>SUM(C110:C111)</f>
        <v>1151180000</v>
      </c>
    </row>
    <row r="110" spans="2:3" hidden="1" outlineLevel="1" x14ac:dyDescent="0.2">
      <c r="B110" s="190" t="s">
        <v>63</v>
      </c>
      <c r="C110" s="197">
        <f>+C58</f>
        <v>579150000</v>
      </c>
    </row>
    <row r="111" spans="2:3" hidden="1" outlineLevel="1" x14ac:dyDescent="0.2">
      <c r="B111" s="190" t="s">
        <v>64</v>
      </c>
      <c r="C111" s="197">
        <f>+C59</f>
        <v>572030000</v>
      </c>
    </row>
    <row r="112" spans="2:3" hidden="1" outlineLevel="1" x14ac:dyDescent="0.2">
      <c r="B112" s="15" t="s">
        <v>320</v>
      </c>
      <c r="C112" s="338">
        <f>+C100+C103-C109</f>
        <v>19309112532</v>
      </c>
    </row>
    <row r="113" spans="1:32" hidden="1" outlineLevel="1" x14ac:dyDescent="0.2"/>
    <row r="114" spans="1:32" collapsed="1" x14ac:dyDescent="0.2"/>
    <row r="120" spans="1:32" x14ac:dyDescent="0.2">
      <c r="A120" s="191" t="s">
        <v>2158</v>
      </c>
      <c r="B120" s="192"/>
      <c r="C120" s="193"/>
      <c r="D120" s="193"/>
      <c r="E120" s="193"/>
      <c r="F120" s="192"/>
      <c r="G120" s="192"/>
      <c r="H120" s="192"/>
      <c r="I120" s="192"/>
      <c r="J120" s="192"/>
      <c r="K120" s="192"/>
      <c r="L120" s="192"/>
      <c r="M120" s="192"/>
      <c r="N120" s="192"/>
      <c r="O120" s="192"/>
      <c r="P120" s="192"/>
      <c r="Q120" s="192"/>
      <c r="R120" s="192"/>
      <c r="S120" s="192"/>
      <c r="T120" s="192"/>
      <c r="U120" s="192"/>
      <c r="V120" s="192"/>
      <c r="W120" s="192"/>
      <c r="X120" s="192"/>
      <c r="Y120" s="192"/>
      <c r="Z120" s="192"/>
      <c r="AA120" s="192"/>
      <c r="AB120" s="192"/>
      <c r="AC120" s="192"/>
      <c r="AD120" s="192"/>
      <c r="AE120" s="192"/>
      <c r="AF120" s="192"/>
    </row>
    <row r="121" spans="1:32" x14ac:dyDescent="0.2">
      <c r="A121" s="192"/>
      <c r="B121" s="192"/>
      <c r="C121" s="193"/>
      <c r="D121" s="193"/>
      <c r="E121" s="193"/>
      <c r="F121" s="192"/>
      <c r="G121" s="192"/>
      <c r="H121" s="192"/>
      <c r="I121" s="192"/>
      <c r="J121" s="192"/>
      <c r="K121" s="192"/>
      <c r="L121" s="192"/>
      <c r="M121" s="192"/>
      <c r="N121" s="192"/>
      <c r="O121" s="192"/>
      <c r="P121" s="192"/>
      <c r="Q121" s="192"/>
      <c r="R121" s="192"/>
      <c r="S121" s="192"/>
      <c r="T121" s="192"/>
      <c r="U121" s="192"/>
      <c r="V121" s="192"/>
      <c r="W121" s="192"/>
      <c r="X121" s="192"/>
      <c r="Y121" s="192"/>
      <c r="Z121" s="192"/>
      <c r="AA121" s="192"/>
      <c r="AB121" s="192"/>
      <c r="AC121" s="192"/>
      <c r="AD121" s="192"/>
      <c r="AE121" s="192"/>
      <c r="AF121" s="192"/>
    </row>
    <row r="122" spans="1:32" outlineLevel="1" x14ac:dyDescent="0.2">
      <c r="B122" s="15" t="s">
        <v>0</v>
      </c>
    </row>
    <row r="123" spans="1:32" outlineLevel="1" x14ac:dyDescent="0.2">
      <c r="A123" s="25" t="s">
        <v>1013</v>
      </c>
      <c r="B123" s="262" t="s">
        <v>1</v>
      </c>
      <c r="C123" s="262" t="s">
        <v>1011</v>
      </c>
      <c r="D123" s="262" t="s">
        <v>20</v>
      </c>
      <c r="E123" s="262" t="s">
        <v>177</v>
      </c>
      <c r="F123" s="25" t="s">
        <v>35</v>
      </c>
      <c r="I123" s="197"/>
    </row>
    <row r="124" spans="1:32" outlineLevel="1" x14ac:dyDescent="0.2">
      <c r="A124" s="195">
        <v>140501</v>
      </c>
      <c r="B124" s="195" t="s">
        <v>63</v>
      </c>
      <c r="C124" s="342">
        <f>+E135</f>
        <v>637356000</v>
      </c>
      <c r="D124" s="342"/>
      <c r="E124" s="342">
        <f>+C124+D124</f>
        <v>637356000</v>
      </c>
      <c r="F124" s="342"/>
      <c r="I124" s="197"/>
    </row>
    <row r="125" spans="1:32" outlineLevel="1" x14ac:dyDescent="0.2">
      <c r="A125" s="195">
        <v>143005</v>
      </c>
      <c r="B125" s="195" t="s">
        <v>64</v>
      </c>
      <c r="C125" s="342">
        <f>+C144</f>
        <v>524369000</v>
      </c>
      <c r="D125" s="342"/>
      <c r="E125" s="342">
        <f t="shared" ref="E125:E128" si="8">+C125+D125</f>
        <v>524369000</v>
      </c>
      <c r="F125" s="342"/>
      <c r="I125" s="197"/>
    </row>
    <row r="126" spans="1:32" ht="13.5" customHeight="1" outlineLevel="1" x14ac:dyDescent="0.2">
      <c r="A126" s="195">
        <v>144505</v>
      </c>
      <c r="B126" s="195" t="s">
        <v>1082</v>
      </c>
      <c r="C126" s="342">
        <f>+C60+E154+H154</f>
        <v>1479259748</v>
      </c>
      <c r="D126" s="342"/>
      <c r="E126" s="342">
        <f t="shared" si="8"/>
        <v>1479259748</v>
      </c>
      <c r="F126" s="342"/>
      <c r="I126" s="197"/>
    </row>
    <row r="127" spans="1:32" ht="13.5" customHeight="1" outlineLevel="1" x14ac:dyDescent="0.2">
      <c r="A127" s="195">
        <v>144597</v>
      </c>
      <c r="B127" s="195" t="s">
        <v>1083</v>
      </c>
      <c r="C127" s="342"/>
      <c r="D127" s="342"/>
      <c r="E127" s="342">
        <f t="shared" si="8"/>
        <v>0</v>
      </c>
      <c r="F127" s="342"/>
      <c r="I127" s="197"/>
    </row>
    <row r="128" spans="1:32" outlineLevel="1" x14ac:dyDescent="0.2">
      <c r="A128" s="195">
        <v>149905</v>
      </c>
      <c r="B128" s="195" t="s">
        <v>284</v>
      </c>
      <c r="C128" s="342">
        <v>0</v>
      </c>
      <c r="D128" s="342"/>
      <c r="E128" s="342">
        <f t="shared" si="8"/>
        <v>0</v>
      </c>
      <c r="F128" s="342"/>
    </row>
    <row r="129" spans="1:13" outlineLevel="1" x14ac:dyDescent="0.2">
      <c r="A129" s="194"/>
      <c r="B129" s="25" t="s">
        <v>8</v>
      </c>
      <c r="C129" s="266">
        <f>SUM(C124:C128)</f>
        <v>2640984748</v>
      </c>
      <c r="D129" s="266">
        <f>SUM(D124:D128)</f>
        <v>0</v>
      </c>
      <c r="E129" s="266">
        <f>SUM(E124:E128)</f>
        <v>2640984748</v>
      </c>
      <c r="F129" s="266">
        <f>SUM(F124:F128)</f>
        <v>0</v>
      </c>
    </row>
    <row r="130" spans="1:13" outlineLevel="1" x14ac:dyDescent="0.2"/>
    <row r="131" spans="1:13" outlineLevel="1" x14ac:dyDescent="0.2">
      <c r="K131" s="190"/>
    </row>
    <row r="132" spans="1:13" outlineLevel="1" x14ac:dyDescent="0.2">
      <c r="D132" s="197" t="s">
        <v>0</v>
      </c>
      <c r="K132" s="190"/>
    </row>
    <row r="133" spans="1:13" outlineLevel="1" x14ac:dyDescent="0.2">
      <c r="B133" s="326" t="s">
        <v>94</v>
      </c>
      <c r="C133" s="327"/>
      <c r="D133" s="327"/>
      <c r="E133" s="327"/>
      <c r="K133" s="190" t="s">
        <v>878</v>
      </c>
      <c r="M133" s="190" t="s">
        <v>879</v>
      </c>
    </row>
    <row r="134" spans="1:13" outlineLevel="1" x14ac:dyDescent="0.2">
      <c r="B134" s="262" t="s">
        <v>21</v>
      </c>
      <c r="C134" s="262" t="s">
        <v>289</v>
      </c>
      <c r="D134" s="262" t="s">
        <v>290</v>
      </c>
      <c r="E134" s="262" t="s">
        <v>177</v>
      </c>
    </row>
    <row r="135" spans="1:13" outlineLevel="1" x14ac:dyDescent="0.2">
      <c r="B135" s="25" t="str">
        <f>+B124</f>
        <v>Materia prima</v>
      </c>
      <c r="C135" s="266">
        <f>SUM(C136:C138)</f>
        <v>579150000</v>
      </c>
      <c r="D135" s="266">
        <f>SUM(D136:D138)</f>
        <v>11270225000</v>
      </c>
      <c r="E135" s="266">
        <f>SUM(E136:E138)</f>
        <v>637356000</v>
      </c>
      <c r="K135" s="229" t="s">
        <v>880</v>
      </c>
    </row>
    <row r="136" spans="1:13" outlineLevel="1" x14ac:dyDescent="0.2">
      <c r="B136" s="195" t="s">
        <v>132</v>
      </c>
      <c r="C136" s="196">
        <f>+E70</f>
        <v>315000000</v>
      </c>
      <c r="D136" s="196">
        <v>5627750000</v>
      </c>
      <c r="E136" s="196">
        <v>365000000</v>
      </c>
      <c r="K136" s="229" t="s">
        <v>881</v>
      </c>
    </row>
    <row r="137" spans="1:13" outlineLevel="1" x14ac:dyDescent="0.2">
      <c r="B137" s="195" t="s">
        <v>133</v>
      </c>
      <c r="C137" s="196">
        <f>+E71</f>
        <v>122500000</v>
      </c>
      <c r="D137" s="196">
        <f>+C137*21.2</f>
        <v>2597000000</v>
      </c>
      <c r="E137" s="196">
        <v>120000000</v>
      </c>
      <c r="G137" s="242"/>
    </row>
    <row r="138" spans="1:13" outlineLevel="1" x14ac:dyDescent="0.2">
      <c r="B138" s="195" t="s">
        <v>134</v>
      </c>
      <c r="C138" s="196">
        <f>+E72</f>
        <v>141650000</v>
      </c>
      <c r="D138" s="196">
        <f>+C138*21.5</f>
        <v>3045475000</v>
      </c>
      <c r="E138" s="196">
        <v>152356000</v>
      </c>
      <c r="K138" s="229" t="s">
        <v>882</v>
      </c>
    </row>
    <row r="139" spans="1:13" outlineLevel="1" x14ac:dyDescent="0.2">
      <c r="C139" s="242"/>
    </row>
    <row r="140" spans="1:13" outlineLevel="1" x14ac:dyDescent="0.2">
      <c r="C140" s="242"/>
      <c r="G140" s="190" t="s">
        <v>1026</v>
      </c>
    </row>
    <row r="141" spans="1:13" outlineLevel="1" x14ac:dyDescent="0.2">
      <c r="C141" s="242"/>
      <c r="G141" s="190" t="s">
        <v>1025</v>
      </c>
    </row>
    <row r="142" spans="1:13" outlineLevel="1" x14ac:dyDescent="0.2">
      <c r="B142" s="326" t="s">
        <v>95</v>
      </c>
      <c r="C142" s="327"/>
      <c r="D142" s="327"/>
      <c r="E142" s="327"/>
    </row>
    <row r="143" spans="1:13" ht="25.5" outlineLevel="1" x14ac:dyDescent="0.2">
      <c r="B143" s="262" t="s">
        <v>21</v>
      </c>
      <c r="C143" s="262" t="s">
        <v>1010</v>
      </c>
      <c r="D143" s="262" t="s">
        <v>44</v>
      </c>
      <c r="E143" s="262" t="s">
        <v>7</v>
      </c>
      <c r="G143" s="346" t="s">
        <v>136</v>
      </c>
      <c r="H143" s="346" t="s">
        <v>137</v>
      </c>
      <c r="I143" s="346" t="s">
        <v>138</v>
      </c>
      <c r="J143" s="346" t="s">
        <v>139</v>
      </c>
    </row>
    <row r="144" spans="1:13" outlineLevel="1" x14ac:dyDescent="0.2">
      <c r="B144" s="265" t="str">
        <f>+B125</f>
        <v>Productos terminados</v>
      </c>
      <c r="C144" s="266">
        <f>SUM(C145:C150)</f>
        <v>524369000</v>
      </c>
      <c r="D144" s="266">
        <f>SUM(D145:D150)</f>
        <v>516015000</v>
      </c>
      <c r="E144" s="343">
        <f>SUM(E145:E150)</f>
        <v>-26620000</v>
      </c>
      <c r="G144" s="195"/>
      <c r="H144" s="195"/>
      <c r="I144" s="195"/>
      <c r="J144" s="195"/>
    </row>
    <row r="145" spans="2:25" outlineLevel="1" x14ac:dyDescent="0.2">
      <c r="B145" s="195" t="s">
        <v>156</v>
      </c>
      <c r="C145" s="342">
        <f t="shared" ref="C145:C150" si="9">+G145*H145</f>
        <v>81984000</v>
      </c>
      <c r="D145" s="342">
        <f>+((I145)-(I145*J145))*G145</f>
        <v>83448000</v>
      </c>
      <c r="E145" s="342"/>
      <c r="G145" s="347">
        <v>122000</v>
      </c>
      <c r="H145" s="347">
        <v>672</v>
      </c>
      <c r="I145" s="347">
        <v>760</v>
      </c>
      <c r="J145" s="348">
        <v>0.1</v>
      </c>
      <c r="L145" s="190" t="s">
        <v>44</v>
      </c>
    </row>
    <row r="146" spans="2:25" outlineLevel="1" x14ac:dyDescent="0.2">
      <c r="B146" s="195" t="s">
        <v>157</v>
      </c>
      <c r="C146" s="342">
        <f t="shared" si="9"/>
        <v>74360000</v>
      </c>
      <c r="D146" s="342">
        <f t="shared" ref="D146:D150" si="10">+((I146)-(I146*J146))*G146</f>
        <v>84942000</v>
      </c>
      <c r="E146" s="342"/>
      <c r="G146" s="347">
        <v>143000</v>
      </c>
      <c r="H146" s="347">
        <v>520</v>
      </c>
      <c r="I146" s="347">
        <v>660</v>
      </c>
      <c r="J146" s="348">
        <v>0.1</v>
      </c>
      <c r="L146" s="190" t="s">
        <v>171</v>
      </c>
    </row>
    <row r="147" spans="2:25" outlineLevel="1" x14ac:dyDescent="0.2">
      <c r="B147" s="195" t="s">
        <v>158</v>
      </c>
      <c r="C147" s="342">
        <f t="shared" si="9"/>
        <v>136400000</v>
      </c>
      <c r="D147" s="342">
        <f t="shared" si="10"/>
        <v>139500000</v>
      </c>
      <c r="E147" s="342"/>
      <c r="G147" s="347">
        <v>62000</v>
      </c>
      <c r="H147" s="347">
        <v>2200</v>
      </c>
      <c r="I147" s="347">
        <v>2500</v>
      </c>
      <c r="J147" s="348">
        <v>0.1</v>
      </c>
    </row>
    <row r="148" spans="2:25" outlineLevel="1" x14ac:dyDescent="0.2">
      <c r="B148" s="195" t="s">
        <v>159</v>
      </c>
      <c r="C148" s="342">
        <f t="shared" si="9"/>
        <v>73500000</v>
      </c>
      <c r="D148" s="342">
        <f t="shared" si="10"/>
        <v>75600000</v>
      </c>
      <c r="E148" s="342"/>
      <c r="G148" s="347">
        <v>30000</v>
      </c>
      <c r="H148" s="347">
        <v>2450</v>
      </c>
      <c r="I148" s="347">
        <v>2800</v>
      </c>
      <c r="J148" s="348">
        <v>0.1</v>
      </c>
      <c r="L148" s="190" t="s">
        <v>172</v>
      </c>
    </row>
    <row r="149" spans="2:25" outlineLevel="1" x14ac:dyDescent="0.2">
      <c r="B149" s="195" t="s">
        <v>160</v>
      </c>
      <c r="C149" s="342">
        <f t="shared" si="9"/>
        <v>70125000</v>
      </c>
      <c r="D149" s="342">
        <f t="shared" si="10"/>
        <v>71145000</v>
      </c>
      <c r="E149" s="342"/>
      <c r="G149" s="347">
        <v>25500</v>
      </c>
      <c r="H149" s="347">
        <v>2750</v>
      </c>
      <c r="I149" s="347">
        <v>3100</v>
      </c>
      <c r="J149" s="348">
        <v>0.1</v>
      </c>
      <c r="L149" s="190" t="s">
        <v>173</v>
      </c>
    </row>
    <row r="150" spans="2:25" outlineLevel="1" x14ac:dyDescent="0.2">
      <c r="B150" s="195" t="s">
        <v>161</v>
      </c>
      <c r="C150" s="342">
        <f t="shared" si="9"/>
        <v>88000000</v>
      </c>
      <c r="D150" s="342">
        <f t="shared" si="10"/>
        <v>61380000</v>
      </c>
      <c r="E150" s="342">
        <f>+D150-C150</f>
        <v>-26620000</v>
      </c>
      <c r="G150" s="347">
        <v>220000</v>
      </c>
      <c r="H150" s="347">
        <v>400</v>
      </c>
      <c r="I150" s="347">
        <v>310</v>
      </c>
      <c r="J150" s="348">
        <v>0.1</v>
      </c>
      <c r="L150" s="190" t="s">
        <v>174</v>
      </c>
    </row>
    <row r="151" spans="2:25" outlineLevel="1" x14ac:dyDescent="0.2">
      <c r="E151" s="275"/>
      <c r="L151" s="190" t="s">
        <v>175</v>
      </c>
    </row>
    <row r="152" spans="2:25" outlineLevel="1" x14ac:dyDescent="0.2"/>
    <row r="153" spans="2:25" outlineLevel="1" x14ac:dyDescent="0.2"/>
    <row r="154" spans="2:25" outlineLevel="1" x14ac:dyDescent="0.2">
      <c r="B154" s="319" t="s">
        <v>257</v>
      </c>
      <c r="C154" s="349"/>
      <c r="D154" s="360">
        <f t="shared" ref="D154:J154" si="11">SUM(D157:D160)</f>
        <v>1699000000</v>
      </c>
      <c r="E154" s="360">
        <f t="shared" si="11"/>
        <v>322000000</v>
      </c>
      <c r="F154" s="360">
        <f t="shared" si="11"/>
        <v>148000000</v>
      </c>
      <c r="G154" s="360">
        <f t="shared" si="11"/>
        <v>-46000000</v>
      </c>
      <c r="H154" s="360">
        <f t="shared" si="11"/>
        <v>-274067000</v>
      </c>
      <c r="I154" s="360">
        <f t="shared" si="11"/>
        <v>1848933000</v>
      </c>
      <c r="J154" s="360">
        <f t="shared" si="11"/>
        <v>1881000000</v>
      </c>
    </row>
    <row r="155" spans="2:25" outlineLevel="1" x14ac:dyDescent="0.2">
      <c r="C155" s="351"/>
      <c r="D155" s="352"/>
      <c r="E155" s="352"/>
      <c r="L155" s="15"/>
      <c r="T155" s="190" t="s">
        <v>2121</v>
      </c>
      <c r="U155" s="190" t="s">
        <v>2122</v>
      </c>
    </row>
    <row r="156" spans="2:25" outlineLevel="1" x14ac:dyDescent="0.2">
      <c r="B156" s="353" t="s">
        <v>406</v>
      </c>
      <c r="C156" s="353" t="s">
        <v>258</v>
      </c>
      <c r="D156" s="354" t="s">
        <v>293</v>
      </c>
      <c r="E156" s="354" t="s">
        <v>290</v>
      </c>
      <c r="F156" s="354" t="s">
        <v>291</v>
      </c>
      <c r="G156" s="354" t="s">
        <v>292</v>
      </c>
      <c r="H156" s="354" t="s">
        <v>296</v>
      </c>
      <c r="I156" s="354" t="s">
        <v>177</v>
      </c>
      <c r="J156" s="354" t="s">
        <v>234</v>
      </c>
      <c r="L156" s="15" t="s">
        <v>327</v>
      </c>
      <c r="N156" s="336"/>
    </row>
    <row r="157" spans="2:25" outlineLevel="1" x14ac:dyDescent="0.2">
      <c r="B157" s="355" t="s">
        <v>259</v>
      </c>
      <c r="C157" s="355" t="s">
        <v>260</v>
      </c>
      <c r="D157" s="342">
        <f>+J91</f>
        <v>402000000</v>
      </c>
      <c r="E157" s="342">
        <v>145000000</v>
      </c>
      <c r="F157" s="342">
        <v>72000000</v>
      </c>
      <c r="G157" s="342">
        <v>-13500000</v>
      </c>
      <c r="H157" s="342">
        <v>-114500000</v>
      </c>
      <c r="I157" s="342">
        <f>SUM(D157:H157)</f>
        <v>491000000</v>
      </c>
      <c r="J157" s="342">
        <v>495000000</v>
      </c>
      <c r="L157" s="190" t="s">
        <v>330</v>
      </c>
      <c r="N157" s="342">
        <f>+J154-I154</f>
        <v>32067000</v>
      </c>
      <c r="U157" s="190" t="s">
        <v>2123</v>
      </c>
    </row>
    <row r="158" spans="2:25" outlineLevel="1" x14ac:dyDescent="0.2">
      <c r="B158" s="355" t="s">
        <v>261</v>
      </c>
      <c r="C158" s="355" t="s">
        <v>262</v>
      </c>
      <c r="D158" s="342">
        <f>+J92</f>
        <v>695000000</v>
      </c>
      <c r="E158" s="342">
        <v>112000000</v>
      </c>
      <c r="F158" s="342">
        <v>0</v>
      </c>
      <c r="G158" s="342">
        <v>0</v>
      </c>
      <c r="H158" s="342">
        <v>-113567000</v>
      </c>
      <c r="I158" s="342">
        <f>SUM(D158:H158)</f>
        <v>693433000</v>
      </c>
      <c r="J158" s="342">
        <v>712000000</v>
      </c>
      <c r="L158" s="190" t="s">
        <v>291</v>
      </c>
      <c r="N158" s="342">
        <f>+F154</f>
        <v>148000000</v>
      </c>
    </row>
    <row r="159" spans="2:25" outlineLevel="1" x14ac:dyDescent="0.2">
      <c r="B159" s="355" t="s">
        <v>263</v>
      </c>
      <c r="C159" s="355" t="s">
        <v>264</v>
      </c>
      <c r="D159" s="342">
        <f>+J93</f>
        <v>465000000</v>
      </c>
      <c r="E159" s="342">
        <v>65000000</v>
      </c>
      <c r="F159" s="342">
        <v>0</v>
      </c>
      <c r="G159" s="342">
        <v>-32500000</v>
      </c>
      <c r="H159" s="342">
        <v>0</v>
      </c>
      <c r="I159" s="342">
        <f>SUM(D159:H159)</f>
        <v>497500000</v>
      </c>
      <c r="J159" s="342">
        <v>502000000</v>
      </c>
      <c r="L159" s="190" t="s">
        <v>847</v>
      </c>
      <c r="N159" s="342">
        <f>+G154</f>
        <v>-46000000</v>
      </c>
      <c r="V159" s="240"/>
      <c r="W159" s="240"/>
      <c r="X159" s="240"/>
      <c r="Y159" s="240"/>
    </row>
    <row r="160" spans="2:25" outlineLevel="1" x14ac:dyDescent="0.2">
      <c r="B160" s="355" t="s">
        <v>265</v>
      </c>
      <c r="C160" s="355" t="s">
        <v>266</v>
      </c>
      <c r="D160" s="342">
        <f>+J94</f>
        <v>137000000</v>
      </c>
      <c r="E160" s="342">
        <v>0</v>
      </c>
      <c r="F160" s="342">
        <v>76000000</v>
      </c>
      <c r="G160" s="342">
        <v>0</v>
      </c>
      <c r="H160" s="342">
        <v>-46000000</v>
      </c>
      <c r="I160" s="342">
        <f>SUM(D160:H160)</f>
        <v>167000000</v>
      </c>
      <c r="J160" s="342">
        <v>172000000</v>
      </c>
      <c r="L160" s="15" t="s">
        <v>1006</v>
      </c>
      <c r="M160" s="15"/>
      <c r="N160" s="360">
        <f>SUM(N157:N159)</f>
        <v>134067000</v>
      </c>
      <c r="O160" s="190" t="s">
        <v>883</v>
      </c>
      <c r="T160" s="190" t="s">
        <v>2124</v>
      </c>
      <c r="V160" s="240">
        <v>250000</v>
      </c>
      <c r="W160" s="240" t="s">
        <v>2125</v>
      </c>
      <c r="X160" s="240"/>
      <c r="Y160" s="240">
        <v>625000</v>
      </c>
    </row>
    <row r="161" spans="2:26" outlineLevel="1" x14ac:dyDescent="0.2">
      <c r="T161" s="190" t="s">
        <v>2126</v>
      </c>
      <c r="V161" s="330">
        <f>+V160/Y160</f>
        <v>0.4</v>
      </c>
      <c r="W161" s="240"/>
      <c r="X161" s="240"/>
      <c r="Y161" s="240"/>
    </row>
    <row r="162" spans="2:26" outlineLevel="1" x14ac:dyDescent="0.2">
      <c r="V162" s="240"/>
      <c r="W162" s="240"/>
      <c r="X162" s="240"/>
      <c r="Y162" s="240"/>
    </row>
    <row r="163" spans="2:26" outlineLevel="1" x14ac:dyDescent="0.2">
      <c r="T163" s="190" t="s">
        <v>2127</v>
      </c>
      <c r="V163" s="240">
        <v>800000</v>
      </c>
      <c r="W163" s="240"/>
      <c r="X163" s="240" t="s">
        <v>2129</v>
      </c>
      <c r="Y163" s="240">
        <f>+V165</f>
        <v>320000</v>
      </c>
      <c r="Z163" s="190" t="s">
        <v>865</v>
      </c>
    </row>
    <row r="164" spans="2:26" outlineLevel="1" x14ac:dyDescent="0.2">
      <c r="B164" s="15" t="s">
        <v>329</v>
      </c>
      <c r="V164" s="240"/>
      <c r="W164" s="240"/>
      <c r="X164" s="240" t="s">
        <v>2130</v>
      </c>
      <c r="Y164" s="240">
        <f>+V160</f>
        <v>250000</v>
      </c>
      <c r="Z164" s="190" t="s">
        <v>864</v>
      </c>
    </row>
    <row r="165" spans="2:26" outlineLevel="1" x14ac:dyDescent="0.2">
      <c r="T165" s="190" t="s">
        <v>2128</v>
      </c>
      <c r="V165" s="240">
        <f>+V163*V161</f>
        <v>320000</v>
      </c>
      <c r="X165" s="190" t="s">
        <v>2131</v>
      </c>
      <c r="Y165" s="240">
        <f>+Y163</f>
        <v>320000</v>
      </c>
      <c r="Z165" s="190" t="s">
        <v>864</v>
      </c>
    </row>
    <row r="166" spans="2:26" outlineLevel="1" x14ac:dyDescent="0.2">
      <c r="B166" s="15" t="s">
        <v>316</v>
      </c>
      <c r="C166" s="338">
        <f>+C167+C168</f>
        <v>1151180000</v>
      </c>
      <c r="X166" s="240" t="s">
        <v>2132</v>
      </c>
      <c r="Y166" s="318">
        <f>+Y164</f>
        <v>250000</v>
      </c>
      <c r="Z166" s="190" t="s">
        <v>865</v>
      </c>
    </row>
    <row r="167" spans="2:26" outlineLevel="1" x14ac:dyDescent="0.2">
      <c r="B167" s="190" t="s">
        <v>63</v>
      </c>
      <c r="C167" s="197">
        <f>+C135</f>
        <v>579150000</v>
      </c>
      <c r="V167" s="318"/>
    </row>
    <row r="168" spans="2:26" outlineLevel="1" x14ac:dyDescent="0.2">
      <c r="B168" s="190" t="s">
        <v>64</v>
      </c>
      <c r="C168" s="197">
        <f>+C59</f>
        <v>572030000</v>
      </c>
      <c r="V168" s="318"/>
    </row>
    <row r="169" spans="2:26" outlineLevel="1" x14ac:dyDescent="0.2">
      <c r="B169" s="15" t="s">
        <v>317</v>
      </c>
      <c r="C169" s="338">
        <f>SUM(C170:C174)</f>
        <v>19915008322</v>
      </c>
      <c r="T169" s="190" t="s">
        <v>125</v>
      </c>
      <c r="U169" s="190" t="s">
        <v>622</v>
      </c>
      <c r="V169" s="318">
        <f>+V165</f>
        <v>320000</v>
      </c>
    </row>
    <row r="170" spans="2:26" outlineLevel="1" x14ac:dyDescent="0.2">
      <c r="B170" s="190" t="s">
        <v>63</v>
      </c>
      <c r="C170" s="197">
        <f>+D135</f>
        <v>11270225000</v>
      </c>
      <c r="V170" s="318"/>
    </row>
    <row r="171" spans="2:26" outlineLevel="1" x14ac:dyDescent="0.2">
      <c r="B171" s="190" t="s">
        <v>221</v>
      </c>
      <c r="C171" s="197">
        <f>+'Diario 20x3'!C118+'Diario 20x3'!C119</f>
        <v>131426533</v>
      </c>
      <c r="T171" s="190" t="s">
        <v>2133</v>
      </c>
      <c r="U171" s="190" t="s">
        <v>622</v>
      </c>
      <c r="V171" s="318">
        <f>+V169</f>
        <v>320000</v>
      </c>
    </row>
    <row r="172" spans="2:26" outlineLevel="1" x14ac:dyDescent="0.2">
      <c r="B172" s="190" t="s">
        <v>226</v>
      </c>
      <c r="C172" s="197">
        <v>422356789</v>
      </c>
      <c r="U172" s="190" t="s">
        <v>2134</v>
      </c>
      <c r="V172" s="318">
        <v>0</v>
      </c>
    </row>
    <row r="173" spans="2:26" outlineLevel="1" x14ac:dyDescent="0.2">
      <c r="B173" s="190" t="s">
        <v>233</v>
      </c>
      <c r="C173" s="197">
        <v>6158000000</v>
      </c>
      <c r="U173" s="190" t="s">
        <v>2135</v>
      </c>
      <c r="V173" s="318">
        <v>23000</v>
      </c>
    </row>
    <row r="174" spans="2:26" outlineLevel="1" x14ac:dyDescent="0.2">
      <c r="B174" s="190" t="s">
        <v>367</v>
      </c>
      <c r="C174" s="197">
        <v>1933000000</v>
      </c>
      <c r="V174" s="318"/>
    </row>
    <row r="175" spans="2:26" outlineLevel="1" x14ac:dyDescent="0.2">
      <c r="B175" s="15" t="s">
        <v>319</v>
      </c>
      <c r="C175" s="338">
        <f>SUM(C176:C177)</f>
        <v>1161725000</v>
      </c>
    </row>
    <row r="176" spans="2:26" outlineLevel="1" x14ac:dyDescent="0.2">
      <c r="B176" s="190" t="s">
        <v>63</v>
      </c>
      <c r="C176" s="197">
        <f>+C124</f>
        <v>637356000</v>
      </c>
    </row>
    <row r="177" spans="2:3" outlineLevel="1" x14ac:dyDescent="0.2">
      <c r="B177" s="190" t="s">
        <v>64</v>
      </c>
      <c r="C177" s="197">
        <f>+C125</f>
        <v>524369000</v>
      </c>
    </row>
    <row r="178" spans="2:3" outlineLevel="1" x14ac:dyDescent="0.2">
      <c r="B178" s="15" t="s">
        <v>320</v>
      </c>
      <c r="C178" s="338">
        <f>+C166+C169-C175</f>
        <v>19904463322</v>
      </c>
    </row>
    <row r="179" spans="2:3" outlineLevel="1" x14ac:dyDescent="0.2"/>
    <row r="180" spans="2:3" outlineLevel="1" x14ac:dyDescent="0.2"/>
  </sheetData>
  <phoneticPr fontId="6" type="noConversion"/>
  <pageMargins left="0.39370078740157483" right="0.39370078740157483" top="0.39370078740157483" bottom="0.39370078740157483" header="0" footer="0"/>
  <pageSetup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U95"/>
  <sheetViews>
    <sheetView showGridLines="0" topLeftCell="A76" zoomScale="150" zoomScaleNormal="150" workbookViewId="0">
      <selection activeCell="C96" sqref="C96"/>
    </sheetView>
  </sheetViews>
  <sheetFormatPr baseColWidth="10" defaultRowHeight="12.75" outlineLevelRow="1" x14ac:dyDescent="0.2"/>
  <cols>
    <col min="1" max="1" width="11.42578125" style="190"/>
    <col min="2" max="2" width="22.42578125" style="190" customWidth="1"/>
    <col min="3" max="9" width="18.140625" style="190" customWidth="1"/>
    <col min="10" max="11" width="18.42578125" style="190" customWidth="1"/>
    <col min="12" max="12" width="20.7109375" style="190" customWidth="1"/>
    <col min="13" max="13" width="20.85546875" style="190" customWidth="1"/>
    <col min="14" max="14" width="18.42578125" style="190" customWidth="1"/>
    <col min="15" max="15" width="17.85546875" style="190" customWidth="1"/>
    <col min="16" max="16" width="23" style="190" customWidth="1"/>
    <col min="17" max="17" width="19.7109375" style="190" customWidth="1"/>
    <col min="18" max="18" width="20.42578125" style="190" customWidth="1"/>
    <col min="19" max="19" width="16.85546875" style="229" bestFit="1" customWidth="1"/>
    <col min="20" max="20" width="18.7109375" style="190" bestFit="1" customWidth="1"/>
    <col min="21" max="21" width="23.42578125" style="190" customWidth="1"/>
    <col min="22" max="22" width="11.42578125" style="190"/>
    <col min="23" max="23" width="18.7109375" style="190" bestFit="1" customWidth="1"/>
    <col min="24" max="24" width="16.85546875" style="190" bestFit="1" customWidth="1"/>
    <col min="25" max="25" width="14.140625" style="190" bestFit="1" customWidth="1"/>
    <col min="26" max="26" width="11.42578125" style="190"/>
    <col min="27" max="27" width="15.7109375" style="190" bestFit="1" customWidth="1"/>
    <col min="28" max="31" width="11.42578125" style="190"/>
    <col min="32" max="33" width="15.7109375" style="190" bestFit="1" customWidth="1"/>
    <col min="34" max="16384" width="11.42578125" style="190"/>
  </cols>
  <sheetData>
    <row r="1" spans="1:21" s="189" customFormat="1" x14ac:dyDescent="0.2">
      <c r="A1" s="187"/>
      <c r="B1" s="188"/>
      <c r="C1" s="187"/>
      <c r="S1" s="272"/>
    </row>
    <row r="2" spans="1:21" x14ac:dyDescent="0.2">
      <c r="S2" s="190"/>
      <c r="U2" s="229"/>
    </row>
    <row r="3" spans="1:21" x14ac:dyDescent="0.2">
      <c r="A3" s="15" t="s">
        <v>98</v>
      </c>
      <c r="S3" s="190"/>
    </row>
    <row r="4" spans="1:21" x14ac:dyDescent="0.2">
      <c r="A4" s="15"/>
      <c r="S4" s="190"/>
    </row>
    <row r="5" spans="1:21" x14ac:dyDescent="0.2">
      <c r="A5" s="191" t="s">
        <v>2156</v>
      </c>
      <c r="B5" s="192"/>
      <c r="C5" s="193"/>
      <c r="D5" s="193"/>
      <c r="E5" s="193"/>
      <c r="F5" s="192"/>
      <c r="G5" s="192"/>
      <c r="S5" s="190"/>
    </row>
    <row r="6" spans="1:21" x14ac:dyDescent="0.2">
      <c r="A6" s="192"/>
      <c r="B6" s="192"/>
      <c r="C6" s="193"/>
      <c r="D6" s="193"/>
      <c r="E6" s="193"/>
      <c r="F6" s="192"/>
      <c r="G6" s="192"/>
      <c r="S6" s="190"/>
    </row>
    <row r="7" spans="1:21" ht="25.5" hidden="1" outlineLevel="1" x14ac:dyDescent="0.2">
      <c r="A7" s="25" t="s">
        <v>1013</v>
      </c>
      <c r="B7" s="262" t="s">
        <v>1</v>
      </c>
      <c r="C7" s="262" t="s">
        <v>1085</v>
      </c>
      <c r="D7" s="262" t="s">
        <v>1086</v>
      </c>
      <c r="E7" s="262" t="s">
        <v>1031</v>
      </c>
      <c r="F7" s="262" t="s">
        <v>1089</v>
      </c>
      <c r="G7" s="262" t="s">
        <v>1090</v>
      </c>
    </row>
    <row r="8" spans="1:21" hidden="1" outlineLevel="1" x14ac:dyDescent="0.2">
      <c r="A8" s="195">
        <v>150405</v>
      </c>
      <c r="B8" s="361" t="s">
        <v>220</v>
      </c>
      <c r="C8" s="196">
        <v>650000000</v>
      </c>
      <c r="D8" s="196">
        <v>0</v>
      </c>
      <c r="E8" s="196">
        <f>+C8-D8</f>
        <v>650000000</v>
      </c>
      <c r="F8" s="196">
        <v>1850000000</v>
      </c>
      <c r="G8" s="196"/>
    </row>
    <row r="9" spans="1:21" hidden="1" outlineLevel="1" x14ac:dyDescent="0.2">
      <c r="A9" s="282">
        <v>192010</v>
      </c>
      <c r="B9" s="362" t="s">
        <v>1092</v>
      </c>
      <c r="C9" s="363">
        <v>350000000</v>
      </c>
      <c r="D9" s="363"/>
      <c r="E9" s="363">
        <f t="shared" ref="E9:E14" si="0">+C9-D9</f>
        <v>350000000</v>
      </c>
      <c r="F9" s="363">
        <v>1200000000</v>
      </c>
      <c r="G9" s="196"/>
    </row>
    <row r="10" spans="1:21" hidden="1" outlineLevel="1" x14ac:dyDescent="0.2">
      <c r="A10" s="195">
        <v>150407</v>
      </c>
      <c r="B10" s="361" t="s">
        <v>1088</v>
      </c>
      <c r="C10" s="196">
        <v>550000000</v>
      </c>
      <c r="D10" s="196"/>
      <c r="E10" s="196">
        <f t="shared" si="0"/>
        <v>550000000</v>
      </c>
      <c r="F10" s="196">
        <v>800000000</v>
      </c>
      <c r="G10" s="196"/>
    </row>
    <row r="11" spans="1:21" hidden="1" outlineLevel="1" x14ac:dyDescent="0.2">
      <c r="A11" s="195">
        <v>151605</v>
      </c>
      <c r="B11" s="361" t="s">
        <v>1091</v>
      </c>
      <c r="C11" s="196">
        <v>2445000000</v>
      </c>
      <c r="D11" s="196">
        <f>+ROUND((C11/20*12),0)</f>
        <v>1467000000</v>
      </c>
      <c r="E11" s="196">
        <f t="shared" si="0"/>
        <v>978000000</v>
      </c>
      <c r="F11" s="196">
        <f>+C11</f>
        <v>2445000000</v>
      </c>
      <c r="G11" s="364">
        <f>+ROUND((F11/50*2),0)</f>
        <v>97800000</v>
      </c>
      <c r="T11" s="229"/>
    </row>
    <row r="12" spans="1:21" hidden="1" outlineLevel="1" x14ac:dyDescent="0.2">
      <c r="A12" s="195">
        <v>152005</v>
      </c>
      <c r="B12" s="361" t="s">
        <v>164</v>
      </c>
      <c r="C12" s="196">
        <v>825265324</v>
      </c>
      <c r="D12" s="196">
        <f>+ROUND((C12/10*5),0)</f>
        <v>412632662</v>
      </c>
      <c r="E12" s="196">
        <f t="shared" si="0"/>
        <v>412632662</v>
      </c>
      <c r="F12" s="196">
        <f>+C12</f>
        <v>825265324</v>
      </c>
      <c r="G12" s="364">
        <f>+D12</f>
        <v>412632662</v>
      </c>
      <c r="T12" s="229"/>
    </row>
    <row r="13" spans="1:21" hidden="1" outlineLevel="1" x14ac:dyDescent="0.2">
      <c r="A13" s="195">
        <v>152405</v>
      </c>
      <c r="B13" s="361" t="s">
        <v>9</v>
      </c>
      <c r="C13" s="196">
        <v>435050949</v>
      </c>
      <c r="D13" s="196">
        <f>+ROUND((C13/10*(6)),0)</f>
        <v>261030569</v>
      </c>
      <c r="E13" s="196">
        <f t="shared" si="0"/>
        <v>174020380</v>
      </c>
      <c r="F13" s="196">
        <f>+C13</f>
        <v>435050949</v>
      </c>
      <c r="G13" s="364">
        <f>+D13</f>
        <v>261030569</v>
      </c>
      <c r="I13" s="365">
        <f>+F15-G15</f>
        <v>6942186375</v>
      </c>
      <c r="T13" s="229"/>
    </row>
    <row r="14" spans="1:21" hidden="1" outlineLevel="1" x14ac:dyDescent="0.2">
      <c r="A14" s="195">
        <v>154010</v>
      </c>
      <c r="B14" s="361" t="s">
        <v>1087</v>
      </c>
      <c r="C14" s="196">
        <v>245000000</v>
      </c>
      <c r="D14" s="196">
        <f>+C14</f>
        <v>245000000</v>
      </c>
      <c r="E14" s="196">
        <f t="shared" si="0"/>
        <v>0</v>
      </c>
      <c r="F14" s="196">
        <f>+C14</f>
        <v>245000000</v>
      </c>
      <c r="G14" s="364">
        <f>+ROUND(((F14-115000000)/21*14),0)</f>
        <v>86666667</v>
      </c>
      <c r="I14" s="365">
        <f>+SUM('BP 010120x1'!C27:C39)+'BP 010120x1'!C45+'BP 010120x1'!C46</f>
        <v>6942186375</v>
      </c>
      <c r="T14" s="229"/>
      <c r="U14" s="197"/>
    </row>
    <row r="15" spans="1:21" hidden="1" outlineLevel="1" x14ac:dyDescent="0.2">
      <c r="B15" s="265" t="s">
        <v>10</v>
      </c>
      <c r="C15" s="266">
        <f>SUM(C8:C14)</f>
        <v>5500316273</v>
      </c>
      <c r="D15" s="266">
        <f>SUM(D8:D14)</f>
        <v>2385663231</v>
      </c>
      <c r="E15" s="266">
        <f>SUM(E8:E14)</f>
        <v>3114653042</v>
      </c>
      <c r="F15" s="266">
        <f>SUM(F8:F14)</f>
        <v>7800316273</v>
      </c>
      <c r="G15" s="266">
        <f>SUM(G8:G14)</f>
        <v>858129898</v>
      </c>
      <c r="I15" s="365">
        <f>+I13-I14</f>
        <v>0</v>
      </c>
      <c r="J15" s="190" t="s">
        <v>1101</v>
      </c>
      <c r="S15" s="190"/>
      <c r="T15" s="229"/>
    </row>
    <row r="16" spans="1:21" hidden="1" outlineLevel="1" x14ac:dyDescent="0.2">
      <c r="C16" s="197"/>
      <c r="F16" s="242"/>
    </row>
    <row r="17" spans="2:8" hidden="1" outlineLevel="1" x14ac:dyDescent="0.2">
      <c r="F17" s="242" t="s">
        <v>0</v>
      </c>
      <c r="G17" s="197"/>
      <c r="H17" s="197"/>
    </row>
    <row r="18" spans="2:8" hidden="1" outlineLevel="1" x14ac:dyDescent="0.2"/>
    <row r="19" spans="2:8" hidden="1" outlineLevel="1" x14ac:dyDescent="0.2">
      <c r="B19" s="15" t="s">
        <v>99</v>
      </c>
    </row>
    <row r="20" spans="2:8" ht="25.5" hidden="1" outlineLevel="1" x14ac:dyDescent="0.2">
      <c r="B20" s="262" t="s">
        <v>1</v>
      </c>
      <c r="C20" s="262" t="s">
        <v>122</v>
      </c>
      <c r="D20" s="262" t="s">
        <v>35</v>
      </c>
      <c r="E20" s="262" t="s">
        <v>37</v>
      </c>
      <c r="F20" s="262" t="s">
        <v>100</v>
      </c>
      <c r="G20" s="262" t="s">
        <v>1102</v>
      </c>
      <c r="H20" s="262" t="s">
        <v>273</v>
      </c>
    </row>
    <row r="21" spans="2:8" hidden="1" outlineLevel="1" x14ac:dyDescent="0.2">
      <c r="B21" s="361" t="str">
        <f>+B8</f>
        <v>Terreno 1- Producción</v>
      </c>
      <c r="C21" s="366">
        <f>+F8</f>
        <v>1850000000</v>
      </c>
      <c r="D21" s="366">
        <f>+C8</f>
        <v>650000000</v>
      </c>
      <c r="E21" s="366">
        <f>+C21-D21</f>
        <v>1200000000</v>
      </c>
      <c r="F21" s="366">
        <f>+E21</f>
        <v>1200000000</v>
      </c>
      <c r="G21" s="366"/>
      <c r="H21" s="366">
        <f>+ROUND((F21*0.1+G21*0.3),0)</f>
        <v>120000000</v>
      </c>
    </row>
    <row r="22" spans="2:8" hidden="1" outlineLevel="1" x14ac:dyDescent="0.2">
      <c r="B22" s="361" t="str">
        <f>+B11</f>
        <v xml:space="preserve">Edificación </v>
      </c>
      <c r="C22" s="366">
        <f>+F11-G11</f>
        <v>2347200000</v>
      </c>
      <c r="D22" s="366">
        <f>+C11-D11</f>
        <v>978000000</v>
      </c>
      <c r="E22" s="366">
        <f t="shared" ref="E22:E26" si="1">+C22-D22</f>
        <v>1369200000</v>
      </c>
      <c r="F22" s="366"/>
      <c r="G22" s="366">
        <f>+E22</f>
        <v>1369200000</v>
      </c>
      <c r="H22" s="366">
        <f t="shared" ref="H22:H26" si="2">+ROUND((F22*0.1+G22*0.3),0)</f>
        <v>410760000</v>
      </c>
    </row>
    <row r="23" spans="2:8" hidden="1" outlineLevel="1" x14ac:dyDescent="0.2">
      <c r="B23" s="361" t="str">
        <f>+B10</f>
        <v>Terreno, parqueadero</v>
      </c>
      <c r="C23" s="366">
        <f>+F10</f>
        <v>800000000</v>
      </c>
      <c r="D23" s="366">
        <f>+C10</f>
        <v>550000000</v>
      </c>
      <c r="E23" s="366">
        <f t="shared" si="1"/>
        <v>250000000</v>
      </c>
      <c r="F23" s="366">
        <f>+E23</f>
        <v>250000000</v>
      </c>
      <c r="G23" s="366"/>
      <c r="H23" s="366">
        <f t="shared" si="2"/>
        <v>25000000</v>
      </c>
    </row>
    <row r="24" spans="2:8" hidden="1" outlineLevel="1" x14ac:dyDescent="0.2">
      <c r="B24" s="361" t="str">
        <f>+B12</f>
        <v xml:space="preserve">Maquina </v>
      </c>
      <c r="C24" s="366">
        <f>+F12-G12</f>
        <v>412632662</v>
      </c>
      <c r="D24" s="366">
        <f>+C12-D12</f>
        <v>412632662</v>
      </c>
      <c r="E24" s="366">
        <f t="shared" si="1"/>
        <v>0</v>
      </c>
      <c r="F24" s="366"/>
      <c r="G24" s="366">
        <f>+E24</f>
        <v>0</v>
      </c>
      <c r="H24" s="366">
        <f t="shared" si="2"/>
        <v>0</v>
      </c>
    </row>
    <row r="25" spans="2:8" hidden="1" outlineLevel="1" x14ac:dyDescent="0.2">
      <c r="B25" s="361" t="str">
        <f>+B13</f>
        <v>Muebles y enseres</v>
      </c>
      <c r="C25" s="366">
        <f t="shared" ref="C25:C26" si="3">+F13-G13</f>
        <v>174020380</v>
      </c>
      <c r="D25" s="366">
        <f>+C13-D13</f>
        <v>174020380</v>
      </c>
      <c r="E25" s="366">
        <f t="shared" si="1"/>
        <v>0</v>
      </c>
      <c r="F25" s="366"/>
      <c r="G25" s="366">
        <f>+E25</f>
        <v>0</v>
      </c>
      <c r="H25" s="366">
        <f t="shared" si="2"/>
        <v>0</v>
      </c>
    </row>
    <row r="26" spans="2:8" hidden="1" outlineLevel="1" x14ac:dyDescent="0.2">
      <c r="B26" s="361" t="str">
        <f>+B14</f>
        <v xml:space="preserve">Tractomula </v>
      </c>
      <c r="C26" s="366">
        <f t="shared" si="3"/>
        <v>158333333</v>
      </c>
      <c r="D26" s="366">
        <f>+C14-D14</f>
        <v>0</v>
      </c>
      <c r="E26" s="366">
        <f t="shared" si="1"/>
        <v>158333333</v>
      </c>
      <c r="F26" s="366"/>
      <c r="G26" s="366">
        <f>+E26</f>
        <v>158333333</v>
      </c>
      <c r="H26" s="366">
        <f t="shared" si="2"/>
        <v>47500000</v>
      </c>
    </row>
    <row r="27" spans="2:8" hidden="1" outlineLevel="1" x14ac:dyDescent="0.2">
      <c r="B27" s="265" t="s">
        <v>10</v>
      </c>
      <c r="C27" s="367">
        <f t="shared" ref="C27:H27" si="4">SUM(C21:C26)</f>
        <v>5742186375</v>
      </c>
      <c r="D27" s="367">
        <f t="shared" si="4"/>
        <v>2764653042</v>
      </c>
      <c r="E27" s="367">
        <f t="shared" si="4"/>
        <v>2977533333</v>
      </c>
      <c r="F27" s="367">
        <f t="shared" si="4"/>
        <v>1450000000</v>
      </c>
      <c r="G27" s="367">
        <f t="shared" si="4"/>
        <v>1527533333</v>
      </c>
      <c r="H27" s="367">
        <f t="shared" si="4"/>
        <v>603260000</v>
      </c>
    </row>
    <row r="28" spans="2:8" hidden="1" outlineLevel="1" x14ac:dyDescent="0.2">
      <c r="D28" s="197"/>
    </row>
    <row r="29" spans="2:8" hidden="1" outlineLevel="1" x14ac:dyDescent="0.2">
      <c r="D29" s="197"/>
      <c r="F29" s="229"/>
    </row>
    <row r="30" spans="2:8" hidden="1" outlineLevel="1" x14ac:dyDescent="0.2">
      <c r="C30" s="365">
        <f>+F15-G15-F9</f>
        <v>5742186375</v>
      </c>
      <c r="D30" s="365">
        <f>+C15-D15-C9</f>
        <v>2764653042</v>
      </c>
      <c r="E30" s="190" t="s">
        <v>0</v>
      </c>
      <c r="F30" s="229"/>
      <c r="H30" s="229"/>
    </row>
    <row r="31" spans="2:8" hidden="1" outlineLevel="1" x14ac:dyDescent="0.2">
      <c r="F31" s="229"/>
      <c r="H31" s="229"/>
    </row>
    <row r="32" spans="2:8" hidden="1" outlineLevel="1" x14ac:dyDescent="0.2">
      <c r="F32" s="229"/>
      <c r="H32" s="229"/>
    </row>
    <row r="33" spans="1:10" hidden="1" outlineLevel="1" x14ac:dyDescent="0.2">
      <c r="F33" s="229"/>
    </row>
    <row r="34" spans="1:10" s="192" customFormat="1" collapsed="1" x14ac:dyDescent="0.2">
      <c r="A34" s="191" t="s">
        <v>2157</v>
      </c>
      <c r="C34" s="193"/>
      <c r="D34" s="193"/>
      <c r="E34" s="193"/>
    </row>
    <row r="35" spans="1:10" s="192" customFormat="1" x14ac:dyDescent="0.2">
      <c r="C35" s="193"/>
      <c r="D35" s="193"/>
      <c r="E35" s="193"/>
    </row>
    <row r="36" spans="1:10" hidden="1" outlineLevel="1" x14ac:dyDescent="0.2"/>
    <row r="37" spans="1:10" ht="38.25" hidden="1" outlineLevel="1" x14ac:dyDescent="0.2">
      <c r="A37" s="25" t="s">
        <v>1013</v>
      </c>
      <c r="B37" s="262" t="s">
        <v>1</v>
      </c>
      <c r="C37" s="262" t="s">
        <v>1085</v>
      </c>
      <c r="D37" s="262" t="s">
        <v>1086</v>
      </c>
      <c r="E37" s="262" t="s">
        <v>1031</v>
      </c>
      <c r="F37" s="262" t="s">
        <v>1110</v>
      </c>
      <c r="G37" s="262" t="s">
        <v>1090</v>
      </c>
    </row>
    <row r="38" spans="1:10" hidden="1" outlineLevel="1" x14ac:dyDescent="0.2">
      <c r="A38" s="195">
        <v>150405</v>
      </c>
      <c r="B38" s="361" t="s">
        <v>220</v>
      </c>
      <c r="C38" s="196">
        <v>650000000</v>
      </c>
      <c r="D38" s="196">
        <v>0</v>
      </c>
      <c r="E38" s="196">
        <f>+C38-D38</f>
        <v>650000000</v>
      </c>
      <c r="F38" s="196">
        <v>1850000000</v>
      </c>
      <c r="G38" s="196"/>
    </row>
    <row r="39" spans="1:10" hidden="1" outlineLevel="1" x14ac:dyDescent="0.2">
      <c r="A39" s="282">
        <v>192010</v>
      </c>
      <c r="B39" s="362" t="s">
        <v>1092</v>
      </c>
      <c r="C39" s="363">
        <v>350000000</v>
      </c>
      <c r="D39" s="363"/>
      <c r="E39" s="363">
        <f t="shared" ref="E39:E45" si="5">+C39-D39</f>
        <v>350000000</v>
      </c>
      <c r="F39" s="363">
        <v>1450000000</v>
      </c>
      <c r="G39" s="196"/>
      <c r="H39" s="190" t="s">
        <v>1111</v>
      </c>
    </row>
    <row r="40" spans="1:10" hidden="1" outlineLevel="1" x14ac:dyDescent="0.2">
      <c r="A40" s="282">
        <v>192010</v>
      </c>
      <c r="B40" s="362" t="s">
        <v>1092</v>
      </c>
      <c r="C40" s="363">
        <v>350000000</v>
      </c>
      <c r="D40" s="363"/>
      <c r="E40" s="363">
        <f t="shared" si="5"/>
        <v>350000000</v>
      </c>
      <c r="F40" s="363">
        <v>395000000</v>
      </c>
      <c r="G40" s="196"/>
      <c r="H40" s="190" t="s">
        <v>1111</v>
      </c>
    </row>
    <row r="41" spans="1:10" hidden="1" outlineLevel="1" x14ac:dyDescent="0.2">
      <c r="A41" s="195">
        <v>150407</v>
      </c>
      <c r="B41" s="361" t="s">
        <v>1088</v>
      </c>
      <c r="C41" s="196">
        <v>550000000</v>
      </c>
      <c r="D41" s="196"/>
      <c r="E41" s="196">
        <f t="shared" si="5"/>
        <v>550000000</v>
      </c>
      <c r="F41" s="196">
        <v>800000000</v>
      </c>
      <c r="G41" s="196"/>
    </row>
    <row r="42" spans="1:10" hidden="1" outlineLevel="1" x14ac:dyDescent="0.2">
      <c r="A42" s="195">
        <v>151605</v>
      </c>
      <c r="B42" s="361" t="s">
        <v>1091</v>
      </c>
      <c r="C42" s="196">
        <v>2445000000</v>
      </c>
      <c r="D42" s="196">
        <f>+ROUND((C42/20*13),0)</f>
        <v>1589250000</v>
      </c>
      <c r="E42" s="196">
        <f t="shared" si="5"/>
        <v>855750000</v>
      </c>
      <c r="F42" s="196">
        <f>+C42</f>
        <v>2445000000</v>
      </c>
      <c r="G42" s="364">
        <f>+ROUND((F42/50*3),0)</f>
        <v>146700000</v>
      </c>
    </row>
    <row r="43" spans="1:10" hidden="1" outlineLevel="1" x14ac:dyDescent="0.2">
      <c r="A43" s="195">
        <v>152005</v>
      </c>
      <c r="B43" s="361" t="s">
        <v>164</v>
      </c>
      <c r="C43" s="196">
        <v>825265324</v>
      </c>
      <c r="D43" s="196">
        <f>+ROUND((C43/10*6),0)</f>
        <v>495159194</v>
      </c>
      <c r="E43" s="196">
        <f t="shared" si="5"/>
        <v>330106130</v>
      </c>
      <c r="F43" s="196">
        <f>+C43</f>
        <v>825265324</v>
      </c>
      <c r="G43" s="364">
        <f>+D43</f>
        <v>495159194</v>
      </c>
    </row>
    <row r="44" spans="1:10" hidden="1" outlineLevel="1" x14ac:dyDescent="0.2">
      <c r="A44" s="195">
        <v>152405</v>
      </c>
      <c r="B44" s="361" t="s">
        <v>9</v>
      </c>
      <c r="C44" s="196">
        <v>435050949</v>
      </c>
      <c r="D44" s="196">
        <f>+ROUND((C44/10*(7)),0)</f>
        <v>304535664</v>
      </c>
      <c r="E44" s="196">
        <f t="shared" si="5"/>
        <v>130515285</v>
      </c>
      <c r="F44" s="196">
        <f>+C44</f>
        <v>435050949</v>
      </c>
      <c r="G44" s="364">
        <f>+D44</f>
        <v>304535664</v>
      </c>
      <c r="I44" s="365">
        <f>+F46-G46</f>
        <v>7406064272</v>
      </c>
    </row>
    <row r="45" spans="1:10" hidden="1" outlineLevel="1" x14ac:dyDescent="0.2">
      <c r="A45" s="195">
        <v>154010</v>
      </c>
      <c r="B45" s="361" t="s">
        <v>1087</v>
      </c>
      <c r="C45" s="196">
        <v>245000000</v>
      </c>
      <c r="D45" s="196">
        <f>+C45</f>
        <v>245000000</v>
      </c>
      <c r="E45" s="196">
        <f t="shared" si="5"/>
        <v>0</v>
      </c>
      <c r="F45" s="196">
        <f>+C45</f>
        <v>245000000</v>
      </c>
      <c r="G45" s="364">
        <f>+ROUND(((F45-115000000)/21*15),0)</f>
        <v>92857143</v>
      </c>
      <c r="I45" s="365">
        <f>+SUM('BP 311220x2'!F31:F43)+'BP 311220x2'!F49+'BP 311220x2'!F50</f>
        <v>7406064272</v>
      </c>
    </row>
    <row r="46" spans="1:10" hidden="1" outlineLevel="1" x14ac:dyDescent="0.2">
      <c r="B46" s="265" t="s">
        <v>10</v>
      </c>
      <c r="C46" s="266">
        <f>SUM(C38:C45)</f>
        <v>5850316273</v>
      </c>
      <c r="D46" s="266">
        <f>SUM(D38:D45)</f>
        <v>2633944858</v>
      </c>
      <c r="E46" s="266">
        <f>SUM(E38:E45)</f>
        <v>3216371415</v>
      </c>
      <c r="F46" s="266">
        <f>SUM(F38:F45)</f>
        <v>8445316273</v>
      </c>
      <c r="G46" s="266">
        <f>SUM(G38:G45)</f>
        <v>1039252001</v>
      </c>
      <c r="I46" s="365">
        <f>+I44-I45</f>
        <v>0</v>
      </c>
      <c r="J46" s="190" t="s">
        <v>1101</v>
      </c>
    </row>
    <row r="47" spans="1:10" hidden="1" outlineLevel="1" x14ac:dyDescent="0.2">
      <c r="C47" s="197"/>
      <c r="F47" s="242"/>
    </row>
    <row r="48" spans="1:10" hidden="1" outlineLevel="1" x14ac:dyDescent="0.2">
      <c r="F48" s="242" t="s">
        <v>0</v>
      </c>
      <c r="G48" s="197"/>
      <c r="H48" s="197"/>
    </row>
    <row r="49" spans="2:8" hidden="1" outlineLevel="1" x14ac:dyDescent="0.2">
      <c r="G49" s="318" t="s">
        <v>0</v>
      </c>
    </row>
    <row r="50" spans="2:8" hidden="1" outlineLevel="1" x14ac:dyDescent="0.2">
      <c r="B50" s="15" t="s">
        <v>99</v>
      </c>
    </row>
    <row r="51" spans="2:8" ht="25.5" hidden="1" outlineLevel="1" x14ac:dyDescent="0.2">
      <c r="B51" s="262" t="s">
        <v>1</v>
      </c>
      <c r="C51" s="262" t="s">
        <v>122</v>
      </c>
      <c r="D51" s="262" t="s">
        <v>35</v>
      </c>
      <c r="E51" s="262" t="s">
        <v>37</v>
      </c>
      <c r="F51" s="262" t="s">
        <v>100</v>
      </c>
      <c r="G51" s="262" t="s">
        <v>1102</v>
      </c>
      <c r="H51" s="262" t="s">
        <v>273</v>
      </c>
    </row>
    <row r="52" spans="2:8" hidden="1" outlineLevel="1" x14ac:dyDescent="0.2">
      <c r="B52" s="361" t="str">
        <f>+B38</f>
        <v>Terreno 1- Producción</v>
      </c>
      <c r="C52" s="366">
        <f>+F38</f>
        <v>1850000000</v>
      </c>
      <c r="D52" s="366">
        <f>+C38</f>
        <v>650000000</v>
      </c>
      <c r="E52" s="366">
        <f>+C52-D52</f>
        <v>1200000000</v>
      </c>
      <c r="F52" s="366">
        <f>+E52</f>
        <v>1200000000</v>
      </c>
      <c r="G52" s="366"/>
      <c r="H52" s="366">
        <f>+ROUND((F52*0.1+G52*0.3),0)</f>
        <v>120000000</v>
      </c>
    </row>
    <row r="53" spans="2:8" hidden="1" outlineLevel="1" x14ac:dyDescent="0.2">
      <c r="B53" s="361" t="str">
        <f>+B42</f>
        <v xml:space="preserve">Edificación </v>
      </c>
      <c r="C53" s="366">
        <f>+F42-G42</f>
        <v>2298300000</v>
      </c>
      <c r="D53" s="366">
        <f>+C42-D42</f>
        <v>855750000</v>
      </c>
      <c r="E53" s="366">
        <f t="shared" ref="E53:E57" si="6">+C53-D53</f>
        <v>1442550000</v>
      </c>
      <c r="F53" s="366"/>
      <c r="G53" s="366">
        <f>+E53</f>
        <v>1442550000</v>
      </c>
      <c r="H53" s="366">
        <f t="shared" ref="H53:H57" si="7">+ROUND((F53*0.1+G53*0.3),0)</f>
        <v>432765000</v>
      </c>
    </row>
    <row r="54" spans="2:8" hidden="1" outlineLevel="1" x14ac:dyDescent="0.2">
      <c r="B54" s="361" t="str">
        <f>+B41</f>
        <v>Terreno, parqueadero</v>
      </c>
      <c r="C54" s="366">
        <f>+F41</f>
        <v>800000000</v>
      </c>
      <c r="D54" s="366">
        <f>+C41</f>
        <v>550000000</v>
      </c>
      <c r="E54" s="366">
        <f t="shared" si="6"/>
        <v>250000000</v>
      </c>
      <c r="F54" s="366">
        <f>+E54</f>
        <v>250000000</v>
      </c>
      <c r="G54" s="366"/>
      <c r="H54" s="366">
        <f t="shared" si="7"/>
        <v>25000000</v>
      </c>
    </row>
    <row r="55" spans="2:8" hidden="1" outlineLevel="1" x14ac:dyDescent="0.2">
      <c r="B55" s="361" t="str">
        <f>+B43</f>
        <v xml:space="preserve">Maquina </v>
      </c>
      <c r="C55" s="366">
        <f>+F43-G43</f>
        <v>330106130</v>
      </c>
      <c r="D55" s="366">
        <f>+C43-D43</f>
        <v>330106130</v>
      </c>
      <c r="E55" s="366">
        <f t="shared" si="6"/>
        <v>0</v>
      </c>
      <c r="F55" s="366"/>
      <c r="G55" s="366">
        <f>+E55</f>
        <v>0</v>
      </c>
      <c r="H55" s="366">
        <f t="shared" si="7"/>
        <v>0</v>
      </c>
    </row>
    <row r="56" spans="2:8" hidden="1" outlineLevel="1" x14ac:dyDescent="0.2">
      <c r="B56" s="361" t="str">
        <f>+B44</f>
        <v>Muebles y enseres</v>
      </c>
      <c r="C56" s="366">
        <f t="shared" ref="C56:C57" si="8">+F44-G44</f>
        <v>130515285</v>
      </c>
      <c r="D56" s="366">
        <f>+C44-D44</f>
        <v>130515285</v>
      </c>
      <c r="E56" s="366">
        <f t="shared" si="6"/>
        <v>0</v>
      </c>
      <c r="F56" s="366"/>
      <c r="G56" s="366">
        <f>+E56</f>
        <v>0</v>
      </c>
      <c r="H56" s="366">
        <f t="shared" si="7"/>
        <v>0</v>
      </c>
    </row>
    <row r="57" spans="2:8" hidden="1" outlineLevel="1" x14ac:dyDescent="0.2">
      <c r="B57" s="361" t="str">
        <f>+B45</f>
        <v xml:space="preserve">Tractomula </v>
      </c>
      <c r="C57" s="366">
        <f t="shared" si="8"/>
        <v>152142857</v>
      </c>
      <c r="D57" s="366">
        <f>+C45-D45</f>
        <v>0</v>
      </c>
      <c r="E57" s="366">
        <f t="shared" si="6"/>
        <v>152142857</v>
      </c>
      <c r="F57" s="366"/>
      <c r="G57" s="366">
        <f>+E57</f>
        <v>152142857</v>
      </c>
      <c r="H57" s="366">
        <f t="shared" si="7"/>
        <v>45642857</v>
      </c>
    </row>
    <row r="58" spans="2:8" hidden="1" outlineLevel="1" x14ac:dyDescent="0.2">
      <c r="B58" s="265" t="s">
        <v>10</v>
      </c>
      <c r="C58" s="367">
        <f t="shared" ref="C58:H58" si="9">SUM(C52:C57)</f>
        <v>5561064272</v>
      </c>
      <c r="D58" s="367">
        <f t="shared" si="9"/>
        <v>2516371415</v>
      </c>
      <c r="E58" s="367">
        <f t="shared" si="9"/>
        <v>3044692857</v>
      </c>
      <c r="F58" s="367">
        <f t="shared" si="9"/>
        <v>1450000000</v>
      </c>
      <c r="G58" s="367">
        <f t="shared" si="9"/>
        <v>1594692857</v>
      </c>
      <c r="H58" s="367">
        <f t="shared" si="9"/>
        <v>623407857</v>
      </c>
    </row>
    <row r="59" spans="2:8" hidden="1" outlineLevel="1" x14ac:dyDescent="0.2">
      <c r="D59" s="197"/>
    </row>
    <row r="60" spans="2:8" hidden="1" outlineLevel="1" x14ac:dyDescent="0.2">
      <c r="D60" s="197"/>
      <c r="F60" s="229"/>
    </row>
    <row r="61" spans="2:8" hidden="1" outlineLevel="1" x14ac:dyDescent="0.2">
      <c r="C61" s="365">
        <f>+F46-G46-F39-F40</f>
        <v>5561064272</v>
      </c>
      <c r="D61" s="365">
        <f>+C46-D46-C39-C40</f>
        <v>2516371415</v>
      </c>
      <c r="E61" s="190" t="s">
        <v>0</v>
      </c>
      <c r="F61" s="229"/>
      <c r="H61" s="229"/>
    </row>
    <row r="62" spans="2:8" hidden="1" outlineLevel="1" x14ac:dyDescent="0.2"/>
    <row r="63" spans="2:8" hidden="1" outlineLevel="1" x14ac:dyDescent="0.2"/>
    <row r="64" spans="2:8" hidden="1" outlineLevel="1" x14ac:dyDescent="0.2"/>
    <row r="65" spans="1:20" collapsed="1" x14ac:dyDescent="0.2"/>
    <row r="66" spans="1:20" x14ac:dyDescent="0.2">
      <c r="A66" s="191" t="s">
        <v>2158</v>
      </c>
      <c r="B66" s="192"/>
      <c r="C66" s="193"/>
      <c r="D66" s="193"/>
      <c r="E66" s="193"/>
      <c r="F66" s="192"/>
      <c r="G66" s="192"/>
      <c r="H66" s="192"/>
      <c r="I66" s="192"/>
      <c r="J66" s="192"/>
      <c r="K66" s="192"/>
      <c r="L66" s="192"/>
      <c r="M66" s="192"/>
      <c r="N66" s="192"/>
      <c r="O66" s="192"/>
      <c r="P66" s="192"/>
      <c r="Q66" s="192"/>
      <c r="R66" s="192"/>
      <c r="S66" s="192"/>
      <c r="T66" s="192"/>
    </row>
    <row r="67" spans="1:20" x14ac:dyDescent="0.2">
      <c r="A67" s="192"/>
      <c r="B67" s="192"/>
      <c r="C67" s="193"/>
      <c r="D67" s="193"/>
      <c r="E67" s="193"/>
      <c r="F67" s="192"/>
      <c r="G67" s="192"/>
      <c r="H67" s="192"/>
      <c r="I67" s="192"/>
      <c r="J67" s="192"/>
      <c r="K67" s="192"/>
      <c r="L67" s="192"/>
      <c r="M67" s="192"/>
      <c r="N67" s="192"/>
      <c r="O67" s="192"/>
      <c r="P67" s="192"/>
      <c r="Q67" s="192"/>
      <c r="R67" s="192"/>
      <c r="S67" s="192"/>
      <c r="T67" s="192"/>
    </row>
    <row r="68" spans="1:20" outlineLevel="1" x14ac:dyDescent="0.2"/>
    <row r="69" spans="1:20" ht="38.25" outlineLevel="1" x14ac:dyDescent="0.2">
      <c r="A69" s="25" t="s">
        <v>1013</v>
      </c>
      <c r="B69" s="262" t="s">
        <v>1</v>
      </c>
      <c r="C69" s="262" t="s">
        <v>1085</v>
      </c>
      <c r="D69" s="262" t="s">
        <v>1086</v>
      </c>
      <c r="E69" s="262" t="s">
        <v>1031</v>
      </c>
      <c r="F69" s="262" t="s">
        <v>1110</v>
      </c>
      <c r="G69" s="262" t="s">
        <v>1090</v>
      </c>
    </row>
    <row r="70" spans="1:20" outlineLevel="1" x14ac:dyDescent="0.2">
      <c r="A70" s="195">
        <v>150405</v>
      </c>
      <c r="B70" s="361" t="s">
        <v>220</v>
      </c>
      <c r="C70" s="196">
        <v>650000000</v>
      </c>
      <c r="D70" s="196">
        <v>0</v>
      </c>
      <c r="E70" s="196">
        <f>+C70-D70</f>
        <v>650000000</v>
      </c>
      <c r="F70" s="196">
        <v>1850000000</v>
      </c>
      <c r="G70" s="196"/>
    </row>
    <row r="71" spans="1:20" outlineLevel="1" x14ac:dyDescent="0.2">
      <c r="A71" s="282">
        <v>192010</v>
      </c>
      <c r="B71" s="362" t="s">
        <v>1092</v>
      </c>
      <c r="C71" s="363">
        <v>350000000</v>
      </c>
      <c r="D71" s="363"/>
      <c r="E71" s="363">
        <f t="shared" ref="E71:E77" si="10">+C71-D71</f>
        <v>350000000</v>
      </c>
      <c r="F71" s="363">
        <v>1495000000</v>
      </c>
      <c r="G71" s="196"/>
      <c r="H71" s="190" t="s">
        <v>1111</v>
      </c>
    </row>
    <row r="72" spans="1:20" outlineLevel="1" x14ac:dyDescent="0.2">
      <c r="A72" s="282">
        <v>192010</v>
      </c>
      <c r="B72" s="362" t="s">
        <v>1092</v>
      </c>
      <c r="C72" s="363">
        <v>350000000</v>
      </c>
      <c r="D72" s="363"/>
      <c r="E72" s="363">
        <f t="shared" si="10"/>
        <v>350000000</v>
      </c>
      <c r="F72" s="363">
        <v>397000000</v>
      </c>
      <c r="G72" s="196"/>
      <c r="H72" s="190" t="s">
        <v>1111</v>
      </c>
    </row>
    <row r="73" spans="1:20" outlineLevel="1" x14ac:dyDescent="0.2">
      <c r="A73" s="195">
        <v>150407</v>
      </c>
      <c r="B73" s="361" t="s">
        <v>1088</v>
      </c>
      <c r="C73" s="196">
        <v>550000000</v>
      </c>
      <c r="D73" s="196"/>
      <c r="E73" s="196">
        <f t="shared" si="10"/>
        <v>550000000</v>
      </c>
      <c r="F73" s="196">
        <v>800000000</v>
      </c>
      <c r="G73" s="196"/>
    </row>
    <row r="74" spans="1:20" outlineLevel="1" x14ac:dyDescent="0.2">
      <c r="A74" s="195">
        <v>151605</v>
      </c>
      <c r="B74" s="361" t="s">
        <v>1091</v>
      </c>
      <c r="C74" s="196">
        <v>2445000000</v>
      </c>
      <c r="D74" s="196">
        <f>+ROUND((C74/20*14),0)</f>
        <v>1711500000</v>
      </c>
      <c r="E74" s="196">
        <f t="shared" si="10"/>
        <v>733500000</v>
      </c>
      <c r="F74" s="196">
        <f>+C74</f>
        <v>2445000000</v>
      </c>
      <c r="G74" s="364">
        <f>+ROUND((F74/50*4),0)</f>
        <v>195600000</v>
      </c>
    </row>
    <row r="75" spans="1:20" outlineLevel="1" x14ac:dyDescent="0.2">
      <c r="A75" s="195">
        <v>152005</v>
      </c>
      <c r="B75" s="361" t="s">
        <v>164</v>
      </c>
      <c r="C75" s="196">
        <v>825265324</v>
      </c>
      <c r="D75" s="196">
        <f>+ROUND((C75/10*7),0)</f>
        <v>577685727</v>
      </c>
      <c r="E75" s="196">
        <f t="shared" si="10"/>
        <v>247579597</v>
      </c>
      <c r="F75" s="196">
        <f>+C75</f>
        <v>825265324</v>
      </c>
      <c r="G75" s="364">
        <f>+D75</f>
        <v>577685727</v>
      </c>
    </row>
    <row r="76" spans="1:20" outlineLevel="1" x14ac:dyDescent="0.2">
      <c r="A76" s="195">
        <v>152405</v>
      </c>
      <c r="B76" s="361" t="s">
        <v>9</v>
      </c>
      <c r="C76" s="196">
        <v>435050949</v>
      </c>
      <c r="D76" s="196">
        <f>+ROUND((C76/10*(8)),0)</f>
        <v>348040759</v>
      </c>
      <c r="E76" s="196">
        <f t="shared" si="10"/>
        <v>87010190</v>
      </c>
      <c r="F76" s="196">
        <f>+C76</f>
        <v>435050949</v>
      </c>
      <c r="G76" s="364">
        <f>+D76</f>
        <v>348040759</v>
      </c>
      <c r="I76" s="365">
        <f>+F78-G78</f>
        <v>7271942168</v>
      </c>
    </row>
    <row r="77" spans="1:20" outlineLevel="1" x14ac:dyDescent="0.2">
      <c r="A77" s="195">
        <v>154010</v>
      </c>
      <c r="B77" s="361" t="s">
        <v>1087</v>
      </c>
      <c r="C77" s="196">
        <v>245000000</v>
      </c>
      <c r="D77" s="196">
        <f>+C77</f>
        <v>245000000</v>
      </c>
      <c r="E77" s="196">
        <f t="shared" si="10"/>
        <v>0</v>
      </c>
      <c r="F77" s="196">
        <f>+C77</f>
        <v>245000000</v>
      </c>
      <c r="G77" s="364">
        <f>+ROUND(((F77-115000000)/21*16),0)</f>
        <v>99047619</v>
      </c>
      <c r="I77" s="365">
        <f>+SUM('BP 311220x3'!F31:F43)+'BP 311220x3'!F49+'BP 311220x3'!F50</f>
        <v>7271942168</v>
      </c>
    </row>
    <row r="78" spans="1:20" outlineLevel="1" x14ac:dyDescent="0.2">
      <c r="B78" s="265" t="s">
        <v>10</v>
      </c>
      <c r="C78" s="266">
        <f>SUM(C70:C77)</f>
        <v>5850316273</v>
      </c>
      <c r="D78" s="266">
        <f>SUM(D70:D77)</f>
        <v>2882226486</v>
      </c>
      <c r="E78" s="266">
        <f>SUM(E70:E77)</f>
        <v>2968089787</v>
      </c>
      <c r="F78" s="266">
        <f>SUM(F70:F77)</f>
        <v>8492316273</v>
      </c>
      <c r="G78" s="266">
        <f>SUM(G70:G77)</f>
        <v>1220374105</v>
      </c>
      <c r="I78" s="365">
        <f>+I76-I77</f>
        <v>0</v>
      </c>
      <c r="J78" s="190" t="s">
        <v>1101</v>
      </c>
    </row>
    <row r="79" spans="1:20" outlineLevel="1" x14ac:dyDescent="0.2">
      <c r="C79" s="197"/>
      <c r="F79" s="242"/>
    </row>
    <row r="80" spans="1:20" outlineLevel="1" x14ac:dyDescent="0.2">
      <c r="D80" s="197">
        <f>+E78-E71-E72</f>
        <v>2268089787</v>
      </c>
      <c r="F80" s="242" t="s">
        <v>0</v>
      </c>
      <c r="G80" s="197"/>
      <c r="H80" s="197"/>
    </row>
    <row r="81" spans="2:8" outlineLevel="1" x14ac:dyDescent="0.2"/>
    <row r="82" spans="2:8" outlineLevel="1" x14ac:dyDescent="0.2">
      <c r="B82" s="15" t="s">
        <v>99</v>
      </c>
    </row>
    <row r="83" spans="2:8" ht="25.5" outlineLevel="1" x14ac:dyDescent="0.2">
      <c r="B83" s="262" t="s">
        <v>1</v>
      </c>
      <c r="C83" s="262" t="s">
        <v>122</v>
      </c>
      <c r="D83" s="262" t="s">
        <v>35</v>
      </c>
      <c r="E83" s="262" t="s">
        <v>37</v>
      </c>
      <c r="F83" s="262" t="s">
        <v>100</v>
      </c>
      <c r="G83" s="262" t="s">
        <v>1102</v>
      </c>
      <c r="H83" s="262" t="s">
        <v>273</v>
      </c>
    </row>
    <row r="84" spans="2:8" outlineLevel="1" x14ac:dyDescent="0.2">
      <c r="B84" s="361" t="str">
        <f>+B70</f>
        <v>Terreno 1- Producción</v>
      </c>
      <c r="C84" s="366">
        <f>+F70</f>
        <v>1850000000</v>
      </c>
      <c r="D84" s="366">
        <f>+C70</f>
        <v>650000000</v>
      </c>
      <c r="E84" s="366">
        <f>+C84-D84</f>
        <v>1200000000</v>
      </c>
      <c r="F84" s="366">
        <f>+E84</f>
        <v>1200000000</v>
      </c>
      <c r="G84" s="366"/>
      <c r="H84" s="366">
        <f>+ROUND((F84*0.1+G84*0.3),0)</f>
        <v>120000000</v>
      </c>
    </row>
    <row r="85" spans="2:8" outlineLevel="1" x14ac:dyDescent="0.2">
      <c r="B85" s="361" t="str">
        <f>+B74</f>
        <v xml:space="preserve">Edificación </v>
      </c>
      <c r="C85" s="366">
        <f>+F74-G74</f>
        <v>2249400000</v>
      </c>
      <c r="D85" s="366">
        <f>+C74-D74</f>
        <v>733500000</v>
      </c>
      <c r="E85" s="366">
        <f t="shared" ref="E85:E89" si="11">+C85-D85</f>
        <v>1515900000</v>
      </c>
      <c r="F85" s="366"/>
      <c r="G85" s="366">
        <f>+E85</f>
        <v>1515900000</v>
      </c>
      <c r="H85" s="366">
        <f>+ROUND((F85*0.1+G85*0.3),0)</f>
        <v>454770000</v>
      </c>
    </row>
    <row r="86" spans="2:8" outlineLevel="1" x14ac:dyDescent="0.2">
      <c r="B86" s="361" t="str">
        <f>+B73</f>
        <v>Terreno, parqueadero</v>
      </c>
      <c r="C86" s="366">
        <f>+F73</f>
        <v>800000000</v>
      </c>
      <c r="D86" s="366">
        <f>+C73</f>
        <v>550000000</v>
      </c>
      <c r="E86" s="366">
        <f t="shared" si="11"/>
        <v>250000000</v>
      </c>
      <c r="F86" s="366">
        <f>+E86</f>
        <v>250000000</v>
      </c>
      <c r="G86" s="366"/>
      <c r="H86" s="366">
        <f t="shared" ref="H86:H89" si="12">+ROUND((F86*0.1+G86*0.3),0)</f>
        <v>25000000</v>
      </c>
    </row>
    <row r="87" spans="2:8" outlineLevel="1" x14ac:dyDescent="0.2">
      <c r="B87" s="361" t="str">
        <f>+B75</f>
        <v xml:space="preserve">Maquina </v>
      </c>
      <c r="C87" s="366">
        <f>+F75-G75</f>
        <v>247579597</v>
      </c>
      <c r="D87" s="366">
        <f>+C75-D75</f>
        <v>247579597</v>
      </c>
      <c r="E87" s="366">
        <f t="shared" si="11"/>
        <v>0</v>
      </c>
      <c r="F87" s="366"/>
      <c r="G87" s="366">
        <f>+E87</f>
        <v>0</v>
      </c>
      <c r="H87" s="366">
        <f t="shared" si="12"/>
        <v>0</v>
      </c>
    </row>
    <row r="88" spans="2:8" outlineLevel="1" x14ac:dyDescent="0.2">
      <c r="B88" s="361" t="str">
        <f>+B76</f>
        <v>Muebles y enseres</v>
      </c>
      <c r="C88" s="366">
        <f t="shared" ref="C88:C89" si="13">+F76-G76</f>
        <v>87010190</v>
      </c>
      <c r="D88" s="366">
        <f>+C76-D76</f>
        <v>87010190</v>
      </c>
      <c r="E88" s="366">
        <f t="shared" si="11"/>
        <v>0</v>
      </c>
      <c r="F88" s="366"/>
      <c r="G88" s="366">
        <f>+E88</f>
        <v>0</v>
      </c>
      <c r="H88" s="366">
        <f t="shared" si="12"/>
        <v>0</v>
      </c>
    </row>
    <row r="89" spans="2:8" outlineLevel="1" x14ac:dyDescent="0.2">
      <c r="B89" s="361" t="str">
        <f>+B77</f>
        <v xml:space="preserve">Tractomula </v>
      </c>
      <c r="C89" s="366">
        <f t="shared" si="13"/>
        <v>145952381</v>
      </c>
      <c r="D89" s="366">
        <f>+C77-D77</f>
        <v>0</v>
      </c>
      <c r="E89" s="366">
        <f t="shared" si="11"/>
        <v>145952381</v>
      </c>
      <c r="F89" s="366"/>
      <c r="G89" s="366">
        <f>+E89</f>
        <v>145952381</v>
      </c>
      <c r="H89" s="366">
        <f t="shared" si="12"/>
        <v>43785714</v>
      </c>
    </row>
    <row r="90" spans="2:8" outlineLevel="1" x14ac:dyDescent="0.2">
      <c r="B90" s="265" t="s">
        <v>10</v>
      </c>
      <c r="C90" s="367">
        <f t="shared" ref="C90:H90" si="14">SUM(C84:C89)</f>
        <v>5379942168</v>
      </c>
      <c r="D90" s="367">
        <f t="shared" si="14"/>
        <v>2268089787</v>
      </c>
      <c r="E90" s="367">
        <f t="shared" si="14"/>
        <v>3111852381</v>
      </c>
      <c r="F90" s="367">
        <f t="shared" si="14"/>
        <v>1450000000</v>
      </c>
      <c r="G90" s="367">
        <f t="shared" si="14"/>
        <v>1661852381</v>
      </c>
      <c r="H90" s="367">
        <f t="shared" si="14"/>
        <v>643555714</v>
      </c>
    </row>
    <row r="91" spans="2:8" outlineLevel="1" x14ac:dyDescent="0.2">
      <c r="D91" s="197"/>
    </row>
    <row r="92" spans="2:8" outlineLevel="1" x14ac:dyDescent="0.2">
      <c r="D92" s="197"/>
      <c r="F92" s="229"/>
    </row>
    <row r="93" spans="2:8" outlineLevel="1" x14ac:dyDescent="0.2">
      <c r="C93" s="365">
        <f>+F78-G78-F71-F72</f>
        <v>5379942168</v>
      </c>
      <c r="D93" s="365">
        <f>+C78-D78-C71-C72</f>
        <v>2268089787</v>
      </c>
      <c r="E93" s="190" t="s">
        <v>0</v>
      </c>
      <c r="F93" s="229"/>
      <c r="H93" s="229"/>
    </row>
    <row r="94" spans="2:8" outlineLevel="1" x14ac:dyDescent="0.2"/>
    <row r="95" spans="2:8" outlineLevel="1" x14ac:dyDescent="0.2"/>
  </sheetData>
  <phoneticPr fontId="6" type="noConversion"/>
  <pageMargins left="0.39370078740157483" right="0.39370078740157483" top="0.39370078740157483" bottom="0.39370078740157483" header="0" footer="0"/>
  <pageSetup scale="8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Q61"/>
  <sheetViews>
    <sheetView showGridLines="0" zoomScale="140" zoomScaleNormal="140" workbookViewId="0">
      <pane ySplit="1" topLeftCell="A50" activePane="bottomLeft" state="frozen"/>
      <selection pane="bottomLeft" activeCell="B51" sqref="B51"/>
    </sheetView>
  </sheetViews>
  <sheetFormatPr baseColWidth="10" defaultRowHeight="12.75" outlineLevelRow="1" x14ac:dyDescent="0.2"/>
  <cols>
    <col min="1" max="1" width="11.42578125" style="190"/>
    <col min="2" max="2" width="31.28515625" style="190" customWidth="1"/>
    <col min="3" max="6" width="20.7109375" style="190" customWidth="1"/>
    <col min="7" max="7" width="18.140625" style="190" customWidth="1"/>
    <col min="8" max="8" width="17.42578125" style="190" bestFit="1" customWidth="1"/>
    <col min="9" max="9" width="18.7109375" style="190" customWidth="1"/>
    <col min="10" max="12" width="11.42578125" style="190"/>
    <col min="13" max="13" width="12.85546875" style="190" bestFit="1" customWidth="1"/>
    <col min="14" max="16384" width="11.42578125" style="190"/>
  </cols>
  <sheetData>
    <row r="1" spans="1:8" s="189" customFormat="1" x14ac:dyDescent="0.2">
      <c r="A1" s="187"/>
      <c r="B1" s="188"/>
      <c r="C1" s="187"/>
    </row>
    <row r="3" spans="1:8" x14ac:dyDescent="0.2">
      <c r="A3" s="15" t="s">
        <v>101</v>
      </c>
    </row>
    <row r="4" spans="1:8" s="192" customFormat="1" x14ac:dyDescent="0.2">
      <c r="A4" s="191" t="s">
        <v>2156</v>
      </c>
      <c r="C4" s="193"/>
      <c r="D4" s="193"/>
      <c r="E4" s="193"/>
    </row>
    <row r="5" spans="1:8" s="192" customFormat="1" x14ac:dyDescent="0.2">
      <c r="C5" s="193"/>
      <c r="D5" s="193"/>
      <c r="E5" s="193"/>
    </row>
    <row r="7" spans="1:8" hidden="1" outlineLevel="1" x14ac:dyDescent="0.2">
      <c r="A7" s="15" t="s">
        <v>102</v>
      </c>
      <c r="B7" s="15"/>
    </row>
    <row r="8" spans="1:8" hidden="1" outlineLevel="1" x14ac:dyDescent="0.2">
      <c r="A8" s="25" t="s">
        <v>1013</v>
      </c>
      <c r="B8" s="262" t="s">
        <v>1</v>
      </c>
      <c r="C8" s="262" t="s">
        <v>1009</v>
      </c>
      <c r="D8" s="262" t="s">
        <v>20</v>
      </c>
      <c r="E8" s="262" t="s">
        <v>177</v>
      </c>
      <c r="H8" s="190" t="s">
        <v>0</v>
      </c>
    </row>
    <row r="9" spans="1:8" hidden="1" outlineLevel="1" x14ac:dyDescent="0.2">
      <c r="A9" s="194"/>
      <c r="B9" s="265" t="s">
        <v>11</v>
      </c>
      <c r="C9" s="266">
        <f>SUM(C10:C12)</f>
        <v>26586000</v>
      </c>
      <c r="D9" s="266">
        <f>SUM(D10:D12)</f>
        <v>0</v>
      </c>
      <c r="E9" s="266">
        <f>SUM(E10:E12)</f>
        <v>26586000</v>
      </c>
    </row>
    <row r="10" spans="1:8" hidden="1" outlineLevel="1" x14ac:dyDescent="0.2">
      <c r="A10" s="195">
        <v>170545</v>
      </c>
      <c r="B10" s="361" t="s">
        <v>269</v>
      </c>
      <c r="C10" s="261">
        <v>13526000</v>
      </c>
      <c r="D10" s="261"/>
      <c r="E10" s="261">
        <f>+C10+D10</f>
        <v>13526000</v>
      </c>
    </row>
    <row r="11" spans="1:8" hidden="1" outlineLevel="1" x14ac:dyDescent="0.2">
      <c r="A11" s="195">
        <v>170525</v>
      </c>
      <c r="B11" s="361" t="s">
        <v>79</v>
      </c>
      <c r="C11" s="261">
        <v>7560000</v>
      </c>
      <c r="D11" s="261"/>
      <c r="E11" s="261">
        <f>+C11+D11</f>
        <v>7560000</v>
      </c>
    </row>
    <row r="12" spans="1:8" hidden="1" outlineLevel="1" x14ac:dyDescent="0.2">
      <c r="A12" s="195">
        <v>170520</v>
      </c>
      <c r="B12" s="361" t="s">
        <v>1103</v>
      </c>
      <c r="C12" s="261">
        <v>5500000</v>
      </c>
      <c r="D12" s="261"/>
      <c r="E12" s="261">
        <f>+C12+D12</f>
        <v>5500000</v>
      </c>
    </row>
    <row r="13" spans="1:8" hidden="1" outlineLevel="1" x14ac:dyDescent="0.2"/>
    <row r="14" spans="1:8" hidden="1" outlineLevel="1" x14ac:dyDescent="0.2">
      <c r="D14" s="197"/>
    </row>
    <row r="15" spans="1:8" hidden="1" outlineLevel="1" x14ac:dyDescent="0.2">
      <c r="A15" s="15" t="s">
        <v>121</v>
      </c>
    </row>
    <row r="16" spans="1:8" hidden="1" outlineLevel="1" x14ac:dyDescent="0.2">
      <c r="A16" s="25" t="s">
        <v>1013</v>
      </c>
      <c r="B16" s="265" t="s">
        <v>1</v>
      </c>
      <c r="C16" s="262" t="s">
        <v>1009</v>
      </c>
      <c r="D16" s="262" t="s">
        <v>20</v>
      </c>
      <c r="E16" s="262" t="s">
        <v>177</v>
      </c>
    </row>
    <row r="17" spans="1:17" hidden="1" outlineLevel="1" x14ac:dyDescent="0.2">
      <c r="A17" s="194"/>
      <c r="B17" s="265" t="s">
        <v>13</v>
      </c>
      <c r="C17" s="266">
        <f>SUM(C18:C19)</f>
        <v>52000000</v>
      </c>
      <c r="D17" s="266">
        <f>SUM(D18:D19)</f>
        <v>0</v>
      </c>
      <c r="E17" s="266">
        <f>SUM(E18:E19)</f>
        <v>52000000</v>
      </c>
    </row>
    <row r="18" spans="1:17" hidden="1" outlineLevel="1" x14ac:dyDescent="0.2">
      <c r="A18" s="195">
        <v>161010</v>
      </c>
      <c r="B18" s="361" t="s">
        <v>1104</v>
      </c>
      <c r="C18" s="342">
        <v>65000000</v>
      </c>
      <c r="D18" s="342"/>
      <c r="E18" s="342">
        <f>+C18+D18</f>
        <v>65000000</v>
      </c>
    </row>
    <row r="19" spans="1:17" hidden="1" outlineLevel="1" x14ac:dyDescent="0.2">
      <c r="A19" s="195">
        <v>161098</v>
      </c>
      <c r="B19" s="361" t="s">
        <v>47</v>
      </c>
      <c r="C19" s="342">
        <f>-(C18)/5*1</f>
        <v>-13000000</v>
      </c>
      <c r="D19" s="342"/>
      <c r="E19" s="342">
        <f>+C19+D19</f>
        <v>-13000000</v>
      </c>
    </row>
    <row r="20" spans="1:17" hidden="1" outlineLevel="1" x14ac:dyDescent="0.2"/>
    <row r="21" spans="1:17" collapsed="1" x14ac:dyDescent="0.2"/>
    <row r="22" spans="1:17" x14ac:dyDescent="0.2">
      <c r="O22" s="190" t="s">
        <v>886</v>
      </c>
      <c r="Q22" s="190" t="s">
        <v>887</v>
      </c>
    </row>
    <row r="23" spans="1:17" x14ac:dyDescent="0.2">
      <c r="Q23" s="190" t="s">
        <v>888</v>
      </c>
    </row>
    <row r="25" spans="1:17" s="192" customFormat="1" x14ac:dyDescent="0.2">
      <c r="A25" s="191" t="s">
        <v>2157</v>
      </c>
      <c r="C25" s="193"/>
      <c r="D25" s="193"/>
      <c r="E25" s="193"/>
    </row>
    <row r="26" spans="1:17" s="192" customFormat="1" x14ac:dyDescent="0.2">
      <c r="C26" s="193"/>
      <c r="D26" s="193"/>
      <c r="E26" s="193"/>
    </row>
    <row r="28" spans="1:17" hidden="1" outlineLevel="1" x14ac:dyDescent="0.2">
      <c r="A28" s="15" t="s">
        <v>102</v>
      </c>
      <c r="B28" s="15"/>
    </row>
    <row r="29" spans="1:17" hidden="1" outlineLevel="1" x14ac:dyDescent="0.2">
      <c r="A29" s="25" t="s">
        <v>1013</v>
      </c>
      <c r="B29" s="262" t="s">
        <v>1</v>
      </c>
      <c r="C29" s="262" t="s">
        <v>1009</v>
      </c>
      <c r="D29" s="262" t="s">
        <v>20</v>
      </c>
      <c r="E29" s="262" t="s">
        <v>177</v>
      </c>
      <c r="H29" s="190" t="s">
        <v>0</v>
      </c>
    </row>
    <row r="30" spans="1:17" hidden="1" outlineLevel="1" x14ac:dyDescent="0.2">
      <c r="A30" s="194"/>
      <c r="B30" s="265" t="s">
        <v>11</v>
      </c>
      <c r="C30" s="266">
        <f>SUM(C31:C33)</f>
        <v>22178000</v>
      </c>
      <c r="D30" s="266">
        <f>SUM(D31:D33)</f>
        <v>0</v>
      </c>
      <c r="E30" s="266">
        <f>SUM(E31:E33)</f>
        <v>22178000</v>
      </c>
    </row>
    <row r="31" spans="1:17" hidden="1" outlineLevel="1" x14ac:dyDescent="0.2">
      <c r="A31" s="195">
        <v>170545</v>
      </c>
      <c r="B31" s="361" t="s">
        <v>269</v>
      </c>
      <c r="C31" s="261">
        <v>7326000</v>
      </c>
      <c r="D31" s="261"/>
      <c r="E31" s="261">
        <f>+C31+D31</f>
        <v>7326000</v>
      </c>
    </row>
    <row r="32" spans="1:17" hidden="1" outlineLevel="1" x14ac:dyDescent="0.2">
      <c r="A32" s="195">
        <v>170525</v>
      </c>
      <c r="B32" s="361" t="s">
        <v>79</v>
      </c>
      <c r="C32" s="261">
        <v>8352000</v>
      </c>
      <c r="D32" s="261"/>
      <c r="E32" s="261">
        <f>+C32+D32</f>
        <v>8352000</v>
      </c>
    </row>
    <row r="33" spans="1:11" hidden="1" outlineLevel="1" x14ac:dyDescent="0.2">
      <c r="A33" s="195">
        <v>170520</v>
      </c>
      <c r="B33" s="361" t="s">
        <v>270</v>
      </c>
      <c r="C33" s="261">
        <v>6500000</v>
      </c>
      <c r="D33" s="261"/>
      <c r="E33" s="261">
        <f>+C33+D33</f>
        <v>6500000</v>
      </c>
    </row>
    <row r="34" spans="1:11" hidden="1" outlineLevel="1" x14ac:dyDescent="0.2"/>
    <row r="35" spans="1:11" hidden="1" outlineLevel="1" x14ac:dyDescent="0.2">
      <c r="D35" s="197"/>
    </row>
    <row r="36" spans="1:11" hidden="1" outlineLevel="1" x14ac:dyDescent="0.2">
      <c r="A36" s="15" t="s">
        <v>121</v>
      </c>
    </row>
    <row r="37" spans="1:11" hidden="1" outlineLevel="1" x14ac:dyDescent="0.2">
      <c r="A37" s="25" t="s">
        <v>1013</v>
      </c>
      <c r="B37" s="265" t="s">
        <v>1</v>
      </c>
      <c r="C37" s="262" t="s">
        <v>1009</v>
      </c>
      <c r="D37" s="262" t="s">
        <v>20</v>
      </c>
      <c r="E37" s="262" t="s">
        <v>177</v>
      </c>
    </row>
    <row r="38" spans="1:11" hidden="1" outlineLevel="1" x14ac:dyDescent="0.2">
      <c r="A38" s="194"/>
      <c r="B38" s="265" t="s">
        <v>13</v>
      </c>
      <c r="C38" s="266">
        <f>SUM(C39:C40)</f>
        <v>39000000</v>
      </c>
      <c r="D38" s="266">
        <f>SUM(D39:D40)</f>
        <v>0</v>
      </c>
      <c r="E38" s="266">
        <f>SUM(E39:E40)</f>
        <v>39000000</v>
      </c>
      <c r="G38" s="190" t="s">
        <v>340</v>
      </c>
      <c r="I38" s="197">
        <f>-E40+E19</f>
        <v>13000000</v>
      </c>
    </row>
    <row r="39" spans="1:11" hidden="1" outlineLevel="1" x14ac:dyDescent="0.2">
      <c r="A39" s="195">
        <v>161010</v>
      </c>
      <c r="B39" s="361" t="s">
        <v>1104</v>
      </c>
      <c r="C39" s="342">
        <v>65000000</v>
      </c>
      <c r="D39" s="342"/>
      <c r="E39" s="342">
        <f>+C39+D39</f>
        <v>65000000</v>
      </c>
      <c r="F39" s="190" t="s">
        <v>209</v>
      </c>
    </row>
    <row r="40" spans="1:11" hidden="1" outlineLevel="1" x14ac:dyDescent="0.2">
      <c r="A40" s="195">
        <v>161098</v>
      </c>
      <c r="B40" s="361" t="s">
        <v>47</v>
      </c>
      <c r="C40" s="342">
        <f>-(C39)/5*2</f>
        <v>-26000000</v>
      </c>
      <c r="D40" s="342"/>
      <c r="E40" s="342">
        <f>+C40+D40</f>
        <v>-26000000</v>
      </c>
    </row>
    <row r="41" spans="1:11" collapsed="1" x14ac:dyDescent="0.2"/>
    <row r="44" spans="1:11" x14ac:dyDescent="0.2">
      <c r="A44" s="191" t="s">
        <v>2158</v>
      </c>
      <c r="B44" s="192"/>
      <c r="C44" s="193"/>
      <c r="D44" s="193"/>
      <c r="E44" s="193"/>
      <c r="F44" s="192"/>
      <c r="G44" s="192"/>
      <c r="H44" s="192"/>
      <c r="I44" s="192"/>
      <c r="J44" s="192"/>
      <c r="K44" s="192"/>
    </row>
    <row r="45" spans="1:11" x14ac:dyDescent="0.2">
      <c r="A45" s="192"/>
      <c r="B45" s="192"/>
      <c r="C45" s="193"/>
      <c r="D45" s="193"/>
      <c r="E45" s="193"/>
      <c r="F45" s="192"/>
      <c r="G45" s="192"/>
      <c r="H45" s="192"/>
      <c r="I45" s="192"/>
      <c r="J45" s="192"/>
      <c r="K45" s="192"/>
    </row>
    <row r="46" spans="1:11" outlineLevel="1" x14ac:dyDescent="0.2"/>
    <row r="47" spans="1:11" outlineLevel="1" x14ac:dyDescent="0.2">
      <c r="A47" s="15" t="s">
        <v>102</v>
      </c>
      <c r="B47" s="15"/>
    </row>
    <row r="48" spans="1:11" outlineLevel="1" x14ac:dyDescent="0.2">
      <c r="A48" s="25" t="s">
        <v>1013</v>
      </c>
      <c r="B48" s="262" t="s">
        <v>1</v>
      </c>
      <c r="C48" s="262" t="s">
        <v>1009</v>
      </c>
      <c r="D48" s="262" t="s">
        <v>20</v>
      </c>
      <c r="E48" s="262" t="s">
        <v>177</v>
      </c>
      <c r="H48" s="190" t="s">
        <v>0</v>
      </c>
    </row>
    <row r="49" spans="1:9" outlineLevel="1" x14ac:dyDescent="0.2">
      <c r="A49" s="194"/>
      <c r="B49" s="265" t="s">
        <v>11</v>
      </c>
      <c r="C49" s="266">
        <f>SUM(C50:C52)</f>
        <v>26166000</v>
      </c>
      <c r="D49" s="266">
        <f>SUM(D50:D52)</f>
        <v>0</v>
      </c>
      <c r="E49" s="266">
        <f>SUM(E50:E52)</f>
        <v>26166000</v>
      </c>
    </row>
    <row r="50" spans="1:9" outlineLevel="1" x14ac:dyDescent="0.2">
      <c r="A50" s="195">
        <v>170545</v>
      </c>
      <c r="B50" s="361" t="s">
        <v>269</v>
      </c>
      <c r="C50" s="261">
        <v>12123000</v>
      </c>
      <c r="D50" s="261"/>
      <c r="E50" s="261">
        <f>+C50+D50</f>
        <v>12123000</v>
      </c>
    </row>
    <row r="51" spans="1:9" outlineLevel="1" x14ac:dyDescent="0.2">
      <c r="A51" s="195">
        <v>170525</v>
      </c>
      <c r="B51" s="361" t="s">
        <v>79</v>
      </c>
      <c r="C51" s="261">
        <v>6543000</v>
      </c>
      <c r="D51" s="261"/>
      <c r="E51" s="261">
        <f>+C51+D51</f>
        <v>6543000</v>
      </c>
    </row>
    <row r="52" spans="1:9" outlineLevel="1" x14ac:dyDescent="0.2">
      <c r="A52" s="195">
        <v>170520</v>
      </c>
      <c r="B52" s="361" t="s">
        <v>270</v>
      </c>
      <c r="C52" s="261">
        <v>7500000</v>
      </c>
      <c r="D52" s="261"/>
      <c r="E52" s="261">
        <f>+C52+D52</f>
        <v>7500000</v>
      </c>
    </row>
    <row r="53" spans="1:9" outlineLevel="1" x14ac:dyDescent="0.2"/>
    <row r="54" spans="1:9" outlineLevel="1" x14ac:dyDescent="0.2">
      <c r="D54" s="197"/>
    </row>
    <row r="55" spans="1:9" outlineLevel="1" x14ac:dyDescent="0.2">
      <c r="A55" s="15" t="s">
        <v>121</v>
      </c>
    </row>
    <row r="56" spans="1:9" outlineLevel="1" x14ac:dyDescent="0.2">
      <c r="A56" s="25" t="s">
        <v>1013</v>
      </c>
      <c r="B56" s="265" t="s">
        <v>1</v>
      </c>
      <c r="C56" s="262" t="s">
        <v>1009</v>
      </c>
      <c r="D56" s="262" t="s">
        <v>20</v>
      </c>
      <c r="E56" s="262" t="s">
        <v>177</v>
      </c>
    </row>
    <row r="57" spans="1:9" outlineLevel="1" x14ac:dyDescent="0.2">
      <c r="A57" s="194"/>
      <c r="B57" s="265" t="s">
        <v>13</v>
      </c>
      <c r="C57" s="266">
        <f>SUM(C58:C59)</f>
        <v>26000000</v>
      </c>
      <c r="D57" s="266">
        <f>SUM(D58:D59)</f>
        <v>0</v>
      </c>
      <c r="E57" s="266">
        <f>SUM(E58:E59)</f>
        <v>26000000</v>
      </c>
      <c r="G57" s="190" t="s">
        <v>340</v>
      </c>
      <c r="I57" s="197">
        <f>-E59+E40</f>
        <v>13000000</v>
      </c>
    </row>
    <row r="58" spans="1:9" outlineLevel="1" x14ac:dyDescent="0.2">
      <c r="A58" s="195">
        <v>161010</v>
      </c>
      <c r="B58" s="361" t="s">
        <v>1104</v>
      </c>
      <c r="C58" s="342">
        <v>65000000</v>
      </c>
      <c r="D58" s="342"/>
      <c r="E58" s="342">
        <f>+C58+D58</f>
        <v>65000000</v>
      </c>
      <c r="F58" s="190" t="s">
        <v>209</v>
      </c>
    </row>
    <row r="59" spans="1:9" outlineLevel="1" x14ac:dyDescent="0.2">
      <c r="A59" s="195">
        <v>161098</v>
      </c>
      <c r="B59" s="361" t="s">
        <v>47</v>
      </c>
      <c r="C59" s="342">
        <f>-(C58)/5*3</f>
        <v>-39000000</v>
      </c>
      <c r="D59" s="342"/>
      <c r="E59" s="342">
        <f>+C59+D59</f>
        <v>-39000000</v>
      </c>
    </row>
    <row r="60" spans="1:9" outlineLevel="1" x14ac:dyDescent="0.2"/>
    <row r="61" spans="1:9" outlineLevel="1" x14ac:dyDescent="0.2"/>
  </sheetData>
  <phoneticPr fontId="6" type="noConversion"/>
  <pageMargins left="0.39370078740157483" right="0.39370078740157483" top="0.39370078740157483" bottom="0.39370078740157483" header="0" footer="0"/>
  <pageSetup orientation="landscape"/>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K165"/>
  <sheetViews>
    <sheetView showGridLines="0" zoomScale="140" zoomScaleNormal="140" workbookViewId="0">
      <pane ySplit="1" topLeftCell="A148" activePane="bottomLeft" state="frozen"/>
      <selection pane="bottomLeft" activeCell="E128" sqref="E128"/>
    </sheetView>
  </sheetViews>
  <sheetFormatPr baseColWidth="10" defaultRowHeight="12.75" outlineLevelRow="1" x14ac:dyDescent="0.2"/>
  <cols>
    <col min="1" max="1" width="11.42578125" style="190"/>
    <col min="2" max="2" width="33.42578125" style="190" customWidth="1"/>
    <col min="3" max="3" width="20.42578125" style="190" customWidth="1"/>
    <col min="4" max="4" width="18.140625" style="190" customWidth="1"/>
    <col min="5" max="5" width="21.5703125" style="190" customWidth="1"/>
    <col min="6" max="6" width="18.140625" style="190" customWidth="1"/>
    <col min="7" max="7" width="20.42578125" style="190" customWidth="1"/>
    <col min="8" max="8" width="18.140625" style="190" customWidth="1"/>
    <col min="9" max="9" width="20.42578125" style="190" customWidth="1"/>
    <col min="10" max="10" width="17.5703125" style="190" customWidth="1"/>
    <col min="11" max="11" width="22.42578125" style="190" customWidth="1"/>
    <col min="12" max="12" width="19" style="190" customWidth="1"/>
    <col min="13" max="13" width="21.140625" style="190" customWidth="1"/>
    <col min="14" max="15" width="17.42578125" style="190" customWidth="1"/>
    <col min="16" max="16" width="21" style="190" customWidth="1"/>
    <col min="17" max="17" width="19.42578125" style="190" customWidth="1"/>
    <col min="18" max="18" width="20.85546875" style="190" customWidth="1"/>
    <col min="19" max="19" width="17" style="190" bestFit="1" customWidth="1"/>
    <col min="20" max="20" width="19.85546875" style="190" customWidth="1"/>
    <col min="21" max="21" width="11.42578125" style="190"/>
    <col min="22" max="22" width="17.140625" style="190" customWidth="1"/>
    <col min="23" max="23" width="22" style="190" customWidth="1"/>
    <col min="24" max="28" width="11.42578125" style="190"/>
    <col min="29" max="29" width="19.28515625" style="229" bestFit="1" customWidth="1"/>
    <col min="30" max="30" width="13.42578125" style="229" bestFit="1" customWidth="1"/>
    <col min="31" max="31" width="11.42578125" style="190"/>
    <col min="32" max="32" width="13.42578125" style="190" bestFit="1" customWidth="1"/>
    <col min="33" max="33" width="14.28515625" style="190" customWidth="1"/>
    <col min="34" max="34" width="12.28515625" style="190" customWidth="1"/>
    <col min="35" max="35" width="16.42578125" style="190" customWidth="1"/>
    <col min="36" max="40" width="11.42578125" style="190"/>
    <col min="41" max="42" width="13.42578125" style="190" bestFit="1" customWidth="1"/>
    <col min="43" max="16384" width="11.42578125" style="190"/>
  </cols>
  <sheetData>
    <row r="1" spans="1:30" s="189" customFormat="1" x14ac:dyDescent="0.2">
      <c r="A1" s="187"/>
      <c r="B1" s="188"/>
      <c r="C1" s="187"/>
      <c r="AC1" s="272"/>
      <c r="AD1" s="272"/>
    </row>
    <row r="2" spans="1:30" x14ac:dyDescent="0.2">
      <c r="K2" s="122"/>
      <c r="L2" s="381"/>
      <c r="M2" s="240"/>
    </row>
    <row r="3" spans="1:30" x14ac:dyDescent="0.2">
      <c r="H3" s="229"/>
      <c r="I3" s="229"/>
      <c r="L3" s="240"/>
      <c r="M3" s="240"/>
    </row>
    <row r="4" spans="1:30" x14ac:dyDescent="0.2">
      <c r="A4" s="15" t="s">
        <v>103</v>
      </c>
      <c r="H4" s="229"/>
      <c r="I4" s="229"/>
      <c r="K4" s="122"/>
      <c r="L4" s="381"/>
      <c r="M4" s="381"/>
    </row>
    <row r="5" spans="1:30" x14ac:dyDescent="0.2">
      <c r="A5" s="191" t="s">
        <v>2156</v>
      </c>
      <c r="B5" s="192"/>
      <c r="C5" s="193"/>
      <c r="D5" s="193"/>
      <c r="E5" s="193"/>
      <c r="F5" s="192"/>
      <c r="I5" s="382"/>
      <c r="L5" s="240"/>
      <c r="M5" s="240"/>
    </row>
    <row r="6" spans="1:30" x14ac:dyDescent="0.2">
      <c r="A6" s="192"/>
      <c r="B6" s="192"/>
      <c r="C6" s="193"/>
      <c r="D6" s="193"/>
      <c r="E6" s="193"/>
      <c r="F6" s="192"/>
    </row>
    <row r="7" spans="1:30" hidden="1" outlineLevel="1" x14ac:dyDescent="0.2">
      <c r="J7" s="1591" t="s">
        <v>105</v>
      </c>
      <c r="K7" s="1591"/>
      <c r="L7" s="1591"/>
      <c r="M7" s="1591"/>
      <c r="O7" s="1591" t="s">
        <v>107</v>
      </c>
      <c r="P7" s="1591"/>
      <c r="Q7" s="1591"/>
      <c r="R7" s="1591"/>
      <c r="V7" s="1591" t="s">
        <v>108</v>
      </c>
      <c r="W7" s="1591"/>
    </row>
    <row r="8" spans="1:30" ht="15" hidden="1" customHeight="1" outlineLevel="1" x14ac:dyDescent="0.2">
      <c r="A8" s="15" t="s">
        <v>104</v>
      </c>
      <c r="B8" s="15"/>
      <c r="F8" s="1592" t="s">
        <v>2180</v>
      </c>
      <c r="G8" s="1593"/>
      <c r="H8" s="1594"/>
      <c r="J8" s="263" t="s">
        <v>106</v>
      </c>
      <c r="K8" s="328" t="s">
        <v>42</v>
      </c>
      <c r="L8" s="328" t="s">
        <v>76</v>
      </c>
      <c r="M8" s="328" t="s">
        <v>48</v>
      </c>
      <c r="O8" s="263" t="s">
        <v>106</v>
      </c>
      <c r="P8" s="328" t="s">
        <v>42</v>
      </c>
      <c r="Q8" s="328" t="s">
        <v>76</v>
      </c>
      <c r="R8" s="328" t="s">
        <v>48</v>
      </c>
      <c r="V8" s="263" t="s">
        <v>106</v>
      </c>
      <c r="W8" s="328" t="s">
        <v>76</v>
      </c>
    </row>
    <row r="9" spans="1:30" hidden="1" outlineLevel="1" x14ac:dyDescent="0.2">
      <c r="A9" s="25" t="s">
        <v>1013</v>
      </c>
      <c r="B9" s="25" t="s">
        <v>1</v>
      </c>
      <c r="C9" s="265" t="s">
        <v>1009</v>
      </c>
      <c r="D9" s="328" t="s">
        <v>20</v>
      </c>
      <c r="E9" s="383" t="s">
        <v>177</v>
      </c>
      <c r="F9" s="1595"/>
      <c r="G9" s="1596"/>
      <c r="H9" s="1597"/>
      <c r="J9" s="195"/>
      <c r="K9" s="156">
        <f>+P9+125000000</f>
        <v>-3375000000</v>
      </c>
      <c r="L9" s="156"/>
      <c r="M9" s="156">
        <f>-K9</f>
        <v>3375000000</v>
      </c>
      <c r="O9" s="195"/>
      <c r="P9" s="156">
        <f>(3500000000)*-1</f>
        <v>-3500000000</v>
      </c>
      <c r="Q9" s="156"/>
      <c r="R9" s="156">
        <f>-P9</f>
        <v>3500000000</v>
      </c>
      <c r="T9" s="263" t="s">
        <v>109</v>
      </c>
      <c r="V9" s="195"/>
      <c r="W9" s="156"/>
    </row>
    <row r="10" spans="1:30" hidden="1" outlineLevel="1" x14ac:dyDescent="0.2">
      <c r="A10" s="195"/>
      <c r="B10" s="319" t="s">
        <v>18</v>
      </c>
      <c r="C10" s="320">
        <f>+C11</f>
        <v>2585665169.2892494</v>
      </c>
      <c r="D10" s="360">
        <f>+D11</f>
        <v>-69137435.143115997</v>
      </c>
      <c r="E10" s="320">
        <f>+E11</f>
        <v>2516527734.1461334</v>
      </c>
      <c r="F10" s="1595"/>
      <c r="G10" s="1596"/>
      <c r="H10" s="1597"/>
      <c r="J10" s="97" t="s">
        <v>2175</v>
      </c>
      <c r="K10" s="331">
        <f t="shared" ref="K10:K15" si="0">+P10</f>
        <v>851290014.4862026</v>
      </c>
      <c r="L10" s="156">
        <f>+M9*$K$16</f>
        <v>448814893.20011669</v>
      </c>
      <c r="M10" s="156">
        <f t="shared" ref="M10:M15" si="1">+M9+L10-K10</f>
        <v>2972524878.7139139</v>
      </c>
      <c r="O10" s="97" t="str">
        <f t="shared" ref="O10:O15" si="2">+J10</f>
        <v>31/12/20x0</v>
      </c>
      <c r="P10" s="331">
        <f>-T10</f>
        <v>851290014.4862026</v>
      </c>
      <c r="Q10" s="156">
        <f>+R9*$P$16</f>
        <v>419999999.99999958</v>
      </c>
      <c r="R10" s="156">
        <f t="shared" ref="R10:R15" si="3">+R9+Q10-P10</f>
        <v>3068709985.5137968</v>
      </c>
      <c r="T10" s="384">
        <f>+PMT(12%,6,3500000000,0,0)</f>
        <v>-851290014.4862026</v>
      </c>
      <c r="V10" s="97" t="str">
        <f t="shared" ref="V10:V15" si="4">+O10</f>
        <v>31/12/20x0</v>
      </c>
      <c r="W10" s="156">
        <f t="shared" ref="W10:W15" si="5">+Q10-L10</f>
        <v>-28814893.200117111</v>
      </c>
    </row>
    <row r="11" spans="1:30" hidden="1" outlineLevel="1" x14ac:dyDescent="0.2">
      <c r="A11" s="195">
        <v>210510</v>
      </c>
      <c r="B11" s="361" t="s">
        <v>18</v>
      </c>
      <c r="C11" s="196">
        <f>+R11</f>
        <v>2585665169.2892494</v>
      </c>
      <c r="D11" s="342">
        <f>+E11-C11</f>
        <v>-69137435.143115997</v>
      </c>
      <c r="E11" s="196">
        <f>+M11</f>
        <v>2516527734.1461334</v>
      </c>
      <c r="F11" s="1595"/>
      <c r="G11" s="1596"/>
      <c r="H11" s="1597"/>
      <c r="J11" s="385" t="s">
        <v>2174</v>
      </c>
      <c r="K11" s="386">
        <f t="shared" si="0"/>
        <v>851290014.4862026</v>
      </c>
      <c r="L11" s="332">
        <f>+M10*$K$16</f>
        <v>395292869.91842228</v>
      </c>
      <c r="M11" s="332">
        <f t="shared" si="1"/>
        <v>2516527734.1461334</v>
      </c>
      <c r="O11" s="385" t="str">
        <f t="shared" si="2"/>
        <v>31/12/20x1</v>
      </c>
      <c r="P11" s="386">
        <f>+P10</f>
        <v>851290014.4862026</v>
      </c>
      <c r="Q11" s="332">
        <f>+R10*$P$16</f>
        <v>368245198.26165527</v>
      </c>
      <c r="R11" s="332">
        <f t="shared" si="3"/>
        <v>2585665169.2892494</v>
      </c>
      <c r="V11" s="385" t="str">
        <f t="shared" si="4"/>
        <v>31/12/20x1</v>
      </c>
      <c r="W11" s="332">
        <f t="shared" si="5"/>
        <v>-27047671.656767011</v>
      </c>
    </row>
    <row r="12" spans="1:30" hidden="1" outlineLevel="1" x14ac:dyDescent="0.2">
      <c r="F12" s="1598"/>
      <c r="G12" s="1599"/>
      <c r="H12" s="1600"/>
      <c r="J12" s="97" t="s">
        <v>2176</v>
      </c>
      <c r="K12" s="331">
        <f t="shared" si="0"/>
        <v>851290014.4862026</v>
      </c>
      <c r="L12" s="156">
        <f>+M11*$K$16</f>
        <v>334653370.73657143</v>
      </c>
      <c r="M12" s="156">
        <f t="shared" si="1"/>
        <v>1999891090.396502</v>
      </c>
      <c r="O12" s="97" t="str">
        <f t="shared" si="2"/>
        <v>31/12/20x2</v>
      </c>
      <c r="P12" s="331">
        <f>+P11</f>
        <v>851290014.4862026</v>
      </c>
      <c r="Q12" s="156">
        <f>+R11*$P$16</f>
        <v>310279820.3147096</v>
      </c>
      <c r="R12" s="156">
        <f t="shared" si="3"/>
        <v>2044654975.1177564</v>
      </c>
      <c r="V12" s="97" t="str">
        <f t="shared" si="4"/>
        <v>31/12/20x2</v>
      </c>
      <c r="W12" s="156">
        <f t="shared" si="5"/>
        <v>-24373550.421861827</v>
      </c>
    </row>
    <row r="13" spans="1:30" hidden="1" outlineLevel="1" x14ac:dyDescent="0.2">
      <c r="J13" s="97" t="s">
        <v>2177</v>
      </c>
      <c r="K13" s="331">
        <f t="shared" si="0"/>
        <v>851290014.4862026</v>
      </c>
      <c r="L13" s="156">
        <f>+M12*$K$16</f>
        <v>265949898.11797658</v>
      </c>
      <c r="M13" s="156">
        <f t="shared" si="1"/>
        <v>1414550974.028276</v>
      </c>
      <c r="O13" s="97" t="str">
        <f t="shared" si="2"/>
        <v>31/12/20x3</v>
      </c>
      <c r="P13" s="331">
        <f>+P12</f>
        <v>851290014.4862026</v>
      </c>
      <c r="Q13" s="156">
        <f>+R12*$P$16</f>
        <v>245358597.01413053</v>
      </c>
      <c r="R13" s="156">
        <f t="shared" si="3"/>
        <v>1438723557.6456842</v>
      </c>
      <c r="V13" s="97" t="str">
        <f t="shared" si="4"/>
        <v>31/12/20x3</v>
      </c>
      <c r="W13" s="156">
        <f t="shared" si="5"/>
        <v>-20591301.103846043</v>
      </c>
    </row>
    <row r="14" spans="1:30" hidden="1" outlineLevel="1" x14ac:dyDescent="0.2">
      <c r="J14" s="97" t="s">
        <v>2178</v>
      </c>
      <c r="K14" s="331">
        <f t="shared" si="0"/>
        <v>851290014.4862026</v>
      </c>
      <c r="L14" s="156">
        <f>+M13*$K$16</f>
        <v>188110087.21025828</v>
      </c>
      <c r="M14" s="156">
        <f t="shared" si="1"/>
        <v>751371046.75233161</v>
      </c>
      <c r="O14" s="97" t="str">
        <f t="shared" si="2"/>
        <v>31/12/20x4</v>
      </c>
      <c r="P14" s="331">
        <f>+P13</f>
        <v>851290014.4862026</v>
      </c>
      <c r="Q14" s="156">
        <f>+R13*$P$16</f>
        <v>172646826.91748193</v>
      </c>
      <c r="R14" s="156">
        <f t="shared" si="3"/>
        <v>760080370.07696354</v>
      </c>
      <c r="V14" s="97" t="str">
        <f t="shared" si="4"/>
        <v>31/12/20x4</v>
      </c>
      <c r="W14" s="156">
        <f t="shared" si="5"/>
        <v>-15463260.292776346</v>
      </c>
    </row>
    <row r="15" spans="1:30" hidden="1" outlineLevel="1" x14ac:dyDescent="0.2">
      <c r="H15" s="229"/>
      <c r="J15" s="97" t="s">
        <v>2179</v>
      </c>
      <c r="K15" s="331">
        <f t="shared" si="0"/>
        <v>851290014.4862026</v>
      </c>
      <c r="L15" s="156">
        <f t="shared" ref="L15" si="6">+M14*$K$16</f>
        <v>99918967.733868912</v>
      </c>
      <c r="M15" s="332">
        <f t="shared" si="1"/>
        <v>-2.0265579223632813E-6</v>
      </c>
      <c r="O15" s="97" t="str">
        <f t="shared" si="2"/>
        <v>31/12/20x5</v>
      </c>
      <c r="P15" s="331">
        <f>+P14</f>
        <v>851290014.4862026</v>
      </c>
      <c r="Q15" s="156">
        <f t="shared" ref="Q15" si="7">+R14*$P$16</f>
        <v>91209644.409235537</v>
      </c>
      <c r="R15" s="332">
        <f t="shared" si="3"/>
        <v>-3.4570693969726563E-6</v>
      </c>
      <c r="V15" s="97" t="str">
        <f t="shared" si="4"/>
        <v>31/12/20x5</v>
      </c>
      <c r="W15" s="156">
        <f t="shared" si="5"/>
        <v>-8709323.3246333748</v>
      </c>
    </row>
    <row r="16" spans="1:30" hidden="1" outlineLevel="1" x14ac:dyDescent="0.2">
      <c r="H16" s="229"/>
      <c r="I16" s="242"/>
      <c r="J16" s="15" t="s">
        <v>2</v>
      </c>
      <c r="K16" s="387">
        <f>+IRR(K9:K15)</f>
        <v>0.13298219057781235</v>
      </c>
      <c r="L16" s="6" t="s">
        <v>3</v>
      </c>
      <c r="M16" s="229"/>
      <c r="N16" s="229"/>
      <c r="O16" s="15" t="s">
        <v>110</v>
      </c>
      <c r="P16" s="387">
        <f>+IRR(P9:P15)</f>
        <v>0.11999999999999988</v>
      </c>
      <c r="Q16" s="6" t="s">
        <v>3</v>
      </c>
      <c r="R16" s="229"/>
      <c r="W16" s="6">
        <f>SUM(W10:W15)</f>
        <v>-125000000.00000171</v>
      </c>
    </row>
    <row r="17" spans="1:16" hidden="1" outlineLevel="1" x14ac:dyDescent="0.2">
      <c r="H17" s="229"/>
      <c r="N17" s="229"/>
      <c r="P17" s="324"/>
    </row>
    <row r="18" spans="1:16" hidden="1" outlineLevel="1" x14ac:dyDescent="0.2">
      <c r="G18" s="190" t="s">
        <v>0</v>
      </c>
      <c r="H18" s="229"/>
      <c r="N18" s="229"/>
    </row>
    <row r="19" spans="1:16" hidden="1" outlineLevel="1" x14ac:dyDescent="0.2">
      <c r="L19" s="269"/>
      <c r="M19" s="269"/>
      <c r="N19" s="269"/>
      <c r="O19" s="269"/>
      <c r="P19" s="269"/>
    </row>
    <row r="20" spans="1:16" hidden="1" outlineLevel="1" x14ac:dyDescent="0.2">
      <c r="K20" s="241"/>
      <c r="L20" s="269"/>
      <c r="M20" s="269"/>
      <c r="N20" s="269"/>
      <c r="O20" s="269"/>
      <c r="P20" s="269"/>
    </row>
    <row r="21" spans="1:16" hidden="1" outlineLevel="1" x14ac:dyDescent="0.2">
      <c r="H21" s="229"/>
      <c r="I21" s="229"/>
      <c r="J21" s="229"/>
    </row>
    <row r="22" spans="1:16" hidden="1" outlineLevel="1" x14ac:dyDescent="0.2">
      <c r="I22" s="229"/>
      <c r="J22" s="229"/>
    </row>
    <row r="23" spans="1:16" hidden="1" outlineLevel="1" x14ac:dyDescent="0.2">
      <c r="A23" s="15" t="s">
        <v>112</v>
      </c>
      <c r="D23" s="190" t="s">
        <v>176</v>
      </c>
      <c r="I23" s="229"/>
      <c r="J23" s="229"/>
    </row>
    <row r="24" spans="1:16" hidden="1" outlineLevel="1" x14ac:dyDescent="0.2">
      <c r="A24" s="25" t="s">
        <v>1013</v>
      </c>
      <c r="B24" s="25" t="s">
        <v>1</v>
      </c>
      <c r="C24" s="265" t="s">
        <v>1007</v>
      </c>
      <c r="D24" s="328" t="s">
        <v>20</v>
      </c>
      <c r="E24" s="265" t="s">
        <v>177</v>
      </c>
      <c r="H24" s="242"/>
    </row>
    <row r="25" spans="1:16" hidden="1" outlineLevel="1" x14ac:dyDescent="0.2">
      <c r="A25" s="327"/>
      <c r="B25" s="25" t="s">
        <v>65</v>
      </c>
      <c r="C25" s="266">
        <f>SUM(C26:C27)</f>
        <v>307046000</v>
      </c>
      <c r="D25" s="343">
        <f>SUM(D26:D27)</f>
        <v>-45967262.710074186</v>
      </c>
      <c r="E25" s="266">
        <f>SUM(E26:E27)</f>
        <v>261078737.28992581</v>
      </c>
      <c r="H25" s="242"/>
    </row>
    <row r="26" spans="1:16" hidden="1" outlineLevel="1" x14ac:dyDescent="0.2">
      <c r="A26" s="195">
        <v>263505</v>
      </c>
      <c r="B26" s="361" t="s">
        <v>25</v>
      </c>
      <c r="C26" s="196">
        <f>+C33</f>
        <v>181046000</v>
      </c>
      <c r="D26" s="342">
        <f>+E26-C26</f>
        <v>-45967262.710074186</v>
      </c>
      <c r="E26" s="196">
        <f>+D40</f>
        <v>135078737.28992581</v>
      </c>
      <c r="H26" s="242"/>
    </row>
    <row r="27" spans="1:16" hidden="1" outlineLevel="1" x14ac:dyDescent="0.2">
      <c r="A27" s="195">
        <v>264005</v>
      </c>
      <c r="B27" s="361" t="s">
        <v>401</v>
      </c>
      <c r="C27" s="196">
        <v>126000000</v>
      </c>
      <c r="D27" s="196"/>
      <c r="E27" s="196">
        <f>+C27+D27</f>
        <v>126000000</v>
      </c>
    </row>
    <row r="28" spans="1:16" hidden="1" outlineLevel="1" x14ac:dyDescent="0.2">
      <c r="B28" s="388"/>
      <c r="C28" s="357"/>
      <c r="D28" s="357"/>
      <c r="E28" s="357"/>
      <c r="H28" s="240"/>
    </row>
    <row r="29" spans="1:16" hidden="1" outlineLevel="1" x14ac:dyDescent="0.2">
      <c r="H29" s="330"/>
    </row>
    <row r="30" spans="1:16" hidden="1" outlineLevel="1" x14ac:dyDescent="0.2">
      <c r="B30" s="15" t="s">
        <v>111</v>
      </c>
    </row>
    <row r="31" spans="1:16" hidden="1" outlineLevel="1" x14ac:dyDescent="0.2">
      <c r="B31" s="1591"/>
      <c r="C31" s="1591"/>
      <c r="D31" s="1591" t="s">
        <v>28</v>
      </c>
      <c r="E31" s="1591"/>
      <c r="F31" s="1591"/>
      <c r="G31" s="1591"/>
      <c r="H31" s="1591"/>
    </row>
    <row r="32" spans="1:16" hidden="1" outlineLevel="1" x14ac:dyDescent="0.2">
      <c r="B32" s="369" t="s">
        <v>26</v>
      </c>
      <c r="C32" s="263" t="s">
        <v>34</v>
      </c>
      <c r="D32" s="263" t="s">
        <v>29</v>
      </c>
      <c r="E32" s="263" t="s">
        <v>30</v>
      </c>
      <c r="F32" s="263" t="s">
        <v>31</v>
      </c>
      <c r="G32" s="263" t="s">
        <v>32</v>
      </c>
      <c r="H32" s="263" t="s">
        <v>33</v>
      </c>
    </row>
    <row r="33" spans="2:8" hidden="1" outlineLevel="1" x14ac:dyDescent="0.2">
      <c r="B33" s="265" t="s">
        <v>4</v>
      </c>
      <c r="C33" s="266">
        <f t="shared" ref="C33:H33" si="8">+C34</f>
        <v>181046000</v>
      </c>
      <c r="D33" s="266">
        <f t="shared" si="8"/>
        <v>32500000</v>
      </c>
      <c r="E33" s="266">
        <f t="shared" si="8"/>
        <v>23546000</v>
      </c>
      <c r="F33" s="266">
        <f t="shared" si="8"/>
        <v>60000000</v>
      </c>
      <c r="G33" s="266">
        <f t="shared" si="8"/>
        <v>65000000</v>
      </c>
      <c r="H33" s="266">
        <f t="shared" si="8"/>
        <v>0</v>
      </c>
    </row>
    <row r="34" spans="2:8" hidden="1" outlineLevel="1" x14ac:dyDescent="0.2">
      <c r="B34" s="361" t="s">
        <v>27</v>
      </c>
      <c r="C34" s="196">
        <f>SUM(D34:H34)</f>
        <v>181046000</v>
      </c>
      <c r="D34" s="196">
        <v>32500000</v>
      </c>
      <c r="E34" s="196">
        <v>23546000</v>
      </c>
      <c r="F34" s="196">
        <v>60000000</v>
      </c>
      <c r="G34" s="196">
        <v>65000000</v>
      </c>
      <c r="H34" s="196">
        <v>0</v>
      </c>
    </row>
    <row r="35" spans="2:8" hidden="1" outlineLevel="1" x14ac:dyDescent="0.2">
      <c r="B35" s="388"/>
      <c r="C35" s="357"/>
      <c r="D35" s="389" t="s">
        <v>347</v>
      </c>
      <c r="E35" s="389" t="s">
        <v>348</v>
      </c>
      <c r="F35" s="389" t="s">
        <v>349</v>
      </c>
      <c r="G35" s="389" t="s">
        <v>350</v>
      </c>
      <c r="H35" s="389"/>
    </row>
    <row r="36" spans="2:8" hidden="1" outlineLevel="1" x14ac:dyDescent="0.2">
      <c r="B36" s="388"/>
      <c r="C36" s="357"/>
      <c r="D36" s="357"/>
      <c r="E36" s="357"/>
      <c r="F36" s="357"/>
      <c r="G36" s="357"/>
      <c r="H36" s="357"/>
    </row>
    <row r="37" spans="2:8" hidden="1" outlineLevel="1" x14ac:dyDescent="0.2"/>
    <row r="38" spans="2:8" hidden="1" outlineLevel="1" x14ac:dyDescent="0.2">
      <c r="B38" s="265" t="s">
        <v>26</v>
      </c>
      <c r="C38" s="263" t="s">
        <v>1007</v>
      </c>
      <c r="D38" s="263" t="s">
        <v>87</v>
      </c>
    </row>
    <row r="39" spans="2:8" hidden="1" outlineLevel="1" x14ac:dyDescent="0.2">
      <c r="B39" s="265" t="s">
        <v>4</v>
      </c>
      <c r="C39" s="266">
        <f>+C40</f>
        <v>181046000</v>
      </c>
      <c r="D39" s="266">
        <f>+D40</f>
        <v>135078737.28992581</v>
      </c>
      <c r="F39" s="324"/>
    </row>
    <row r="40" spans="2:8" hidden="1" outlineLevel="1" x14ac:dyDescent="0.2">
      <c r="B40" s="361" t="s">
        <v>27</v>
      </c>
      <c r="C40" s="196">
        <f>+C34</f>
        <v>181046000</v>
      </c>
      <c r="D40" s="196">
        <f>+NPV(11%,D34:H34)</f>
        <v>135078737.28992581</v>
      </c>
    </row>
    <row r="41" spans="2:8" hidden="1" outlineLevel="1" x14ac:dyDescent="0.2"/>
    <row r="42" spans="2:8" hidden="1" outlineLevel="1" x14ac:dyDescent="0.2">
      <c r="B42" s="190" t="s">
        <v>148</v>
      </c>
      <c r="E42" s="264"/>
    </row>
    <row r="43" spans="2:8" hidden="1" outlineLevel="1" x14ac:dyDescent="0.2"/>
    <row r="44" spans="2:8" collapsed="1" x14ac:dyDescent="0.2"/>
    <row r="50" spans="1:23" x14ac:dyDescent="0.2">
      <c r="A50" s="191" t="s">
        <v>2157</v>
      </c>
      <c r="B50" s="192"/>
      <c r="C50" s="193"/>
      <c r="D50" s="193"/>
      <c r="E50" s="193"/>
      <c r="F50" s="192"/>
      <c r="I50" s="382"/>
      <c r="K50" s="190" t="s">
        <v>212</v>
      </c>
      <c r="L50" s="240">
        <f>+M49</f>
        <v>0</v>
      </c>
      <c r="M50" s="240"/>
    </row>
    <row r="51" spans="1:23" x14ac:dyDescent="0.2">
      <c r="A51" s="192"/>
      <c r="B51" s="192"/>
      <c r="C51" s="193"/>
      <c r="D51" s="193"/>
      <c r="E51" s="193"/>
      <c r="F51" s="192"/>
    </row>
    <row r="52" spans="1:23" hidden="1" outlineLevel="1" x14ac:dyDescent="0.2">
      <c r="J52" s="1591" t="s">
        <v>105</v>
      </c>
      <c r="K52" s="1591"/>
      <c r="L52" s="1591"/>
      <c r="M52" s="1591"/>
      <c r="O52" s="1591" t="s">
        <v>107</v>
      </c>
      <c r="P52" s="1591"/>
      <c r="Q52" s="1591"/>
      <c r="R52" s="1591"/>
      <c r="V52" s="1591" t="s">
        <v>108</v>
      </c>
      <c r="W52" s="1591"/>
    </row>
    <row r="53" spans="1:23" ht="15" hidden="1" customHeight="1" outlineLevel="1" x14ac:dyDescent="0.2">
      <c r="A53" s="15" t="s">
        <v>104</v>
      </c>
      <c r="B53" s="15"/>
      <c r="F53" s="1592" t="s">
        <v>2180</v>
      </c>
      <c r="G53" s="1593"/>
      <c r="H53" s="1594"/>
      <c r="J53" s="263" t="s">
        <v>106</v>
      </c>
      <c r="K53" s="328" t="s">
        <v>42</v>
      </c>
      <c r="L53" s="328" t="s">
        <v>76</v>
      </c>
      <c r="M53" s="328" t="s">
        <v>48</v>
      </c>
      <c r="O53" s="263" t="s">
        <v>106</v>
      </c>
      <c r="P53" s="328" t="s">
        <v>42</v>
      </c>
      <c r="Q53" s="328" t="s">
        <v>76</v>
      </c>
      <c r="R53" s="328" t="s">
        <v>48</v>
      </c>
      <c r="V53" s="263" t="s">
        <v>106</v>
      </c>
      <c r="W53" s="328" t="s">
        <v>76</v>
      </c>
    </row>
    <row r="54" spans="1:23" hidden="1" outlineLevel="1" x14ac:dyDescent="0.2">
      <c r="A54" s="25" t="s">
        <v>1013</v>
      </c>
      <c r="B54" s="25" t="s">
        <v>1</v>
      </c>
      <c r="C54" s="265" t="s">
        <v>1009</v>
      </c>
      <c r="D54" s="328" t="s">
        <v>20</v>
      </c>
      <c r="E54" s="383" t="s">
        <v>177</v>
      </c>
      <c r="F54" s="1595"/>
      <c r="G54" s="1596"/>
      <c r="H54" s="1597"/>
      <c r="J54" s="195"/>
      <c r="K54" s="156">
        <f>+P54+125000000</f>
        <v>-3375000000</v>
      </c>
      <c r="L54" s="156"/>
      <c r="M54" s="156">
        <f>-K54</f>
        <v>3375000000</v>
      </c>
      <c r="O54" s="195"/>
      <c r="P54" s="156">
        <f>(3500000000)*-1</f>
        <v>-3500000000</v>
      </c>
      <c r="Q54" s="156"/>
      <c r="R54" s="156">
        <f>-P54</f>
        <v>3500000000</v>
      </c>
      <c r="T54" s="263" t="s">
        <v>109</v>
      </c>
      <c r="V54" s="195"/>
      <c r="W54" s="156"/>
    </row>
    <row r="55" spans="1:23" hidden="1" outlineLevel="1" x14ac:dyDescent="0.2">
      <c r="A55" s="195"/>
      <c r="B55" s="319" t="s">
        <v>18</v>
      </c>
      <c r="C55" s="320">
        <f>+C56</f>
        <v>2044654975.1177564</v>
      </c>
      <c r="D55" s="360">
        <f>+D56</f>
        <v>-44763884.721254349</v>
      </c>
      <c r="E55" s="320">
        <f>+E56</f>
        <v>1999891090.396502</v>
      </c>
      <c r="F55" s="1595"/>
      <c r="G55" s="1596"/>
      <c r="H55" s="1597"/>
      <c r="J55" s="97" t="s">
        <v>2175</v>
      </c>
      <c r="K55" s="331">
        <f t="shared" ref="K55:K60" si="9">+P55</f>
        <v>851290014.4862026</v>
      </c>
      <c r="L55" s="156">
        <f t="shared" ref="L55:L60" si="10">+M54*$K$16</f>
        <v>448814893.20011669</v>
      </c>
      <c r="M55" s="156">
        <f t="shared" ref="M55:M60" si="11">+M54+L55-K55</f>
        <v>2972524878.7139139</v>
      </c>
      <c r="O55" s="97" t="str">
        <f t="shared" ref="O55:O60" si="12">+J55</f>
        <v>31/12/20x0</v>
      </c>
      <c r="P55" s="331">
        <f>-T55</f>
        <v>851290014.4862026</v>
      </c>
      <c r="Q55" s="156">
        <f t="shared" ref="Q55:Q60" si="13">+R54*$P$16</f>
        <v>419999999.99999958</v>
      </c>
      <c r="R55" s="156">
        <f t="shared" ref="R55:R60" si="14">+R54+Q55-P55</f>
        <v>3068709985.5137968</v>
      </c>
      <c r="T55" s="384">
        <f>+PMT(12%,6,3500000000,0,0)</f>
        <v>-851290014.4862026</v>
      </c>
      <c r="V55" s="97" t="str">
        <f t="shared" ref="V55:V60" si="15">+O55</f>
        <v>31/12/20x0</v>
      </c>
      <c r="W55" s="156">
        <f t="shared" ref="W55:W60" si="16">+Q55-L55</f>
        <v>-28814893.200117111</v>
      </c>
    </row>
    <row r="56" spans="1:23" hidden="1" outlineLevel="1" x14ac:dyDescent="0.2">
      <c r="A56" s="195">
        <v>210510</v>
      </c>
      <c r="B56" s="361" t="s">
        <v>18</v>
      </c>
      <c r="C56" s="196">
        <f>+R57</f>
        <v>2044654975.1177564</v>
      </c>
      <c r="D56" s="342">
        <f>+E56-C56</f>
        <v>-44763884.721254349</v>
      </c>
      <c r="E56" s="390">
        <f>+M57</f>
        <v>1999891090.396502</v>
      </c>
      <c r="F56" s="1595"/>
      <c r="G56" s="1596"/>
      <c r="H56" s="1597"/>
      <c r="J56" s="385" t="s">
        <v>2174</v>
      </c>
      <c r="K56" s="386">
        <f t="shared" si="9"/>
        <v>851290014.4862026</v>
      </c>
      <c r="L56" s="332">
        <f t="shared" si="10"/>
        <v>395292869.91842228</v>
      </c>
      <c r="M56" s="332">
        <f t="shared" si="11"/>
        <v>2516527734.1461334</v>
      </c>
      <c r="O56" s="385" t="str">
        <f t="shared" si="12"/>
        <v>31/12/20x1</v>
      </c>
      <c r="P56" s="386">
        <f>+P55</f>
        <v>851290014.4862026</v>
      </c>
      <c r="Q56" s="332">
        <f t="shared" si="13"/>
        <v>368245198.26165527</v>
      </c>
      <c r="R56" s="332">
        <f t="shared" si="14"/>
        <v>2585665169.2892494</v>
      </c>
      <c r="V56" s="385" t="str">
        <f t="shared" si="15"/>
        <v>31/12/20x1</v>
      </c>
      <c r="W56" s="332">
        <f t="shared" si="16"/>
        <v>-27047671.656767011</v>
      </c>
    </row>
    <row r="57" spans="1:23" hidden="1" outlineLevel="1" x14ac:dyDescent="0.2">
      <c r="F57" s="1598"/>
      <c r="G57" s="1599"/>
      <c r="H57" s="1600"/>
      <c r="J57" s="391" t="s">
        <v>2176</v>
      </c>
      <c r="K57" s="392">
        <f t="shared" si="9"/>
        <v>851290014.4862026</v>
      </c>
      <c r="L57" s="393">
        <f t="shared" si="10"/>
        <v>334653370.73657143</v>
      </c>
      <c r="M57" s="393">
        <f t="shared" si="11"/>
        <v>1999891090.396502</v>
      </c>
      <c r="N57" s="242">
        <f>+M57-M58</f>
        <v>585340116.36822605</v>
      </c>
      <c r="O57" s="391" t="str">
        <f t="shared" si="12"/>
        <v>31/12/20x2</v>
      </c>
      <c r="P57" s="392">
        <f>+P56</f>
        <v>851290014.4862026</v>
      </c>
      <c r="Q57" s="393">
        <f t="shared" si="13"/>
        <v>310279820.3147096</v>
      </c>
      <c r="R57" s="393">
        <f t="shared" si="14"/>
        <v>2044654975.1177564</v>
      </c>
      <c r="S57" s="242"/>
      <c r="V57" s="391" t="str">
        <f t="shared" si="15"/>
        <v>31/12/20x2</v>
      </c>
      <c r="W57" s="393">
        <f t="shared" si="16"/>
        <v>-24373550.421861827</v>
      </c>
    </row>
    <row r="58" spans="1:23" hidden="1" outlineLevel="1" x14ac:dyDescent="0.2">
      <c r="J58" s="97" t="s">
        <v>2177</v>
      </c>
      <c r="K58" s="331">
        <f t="shared" si="9"/>
        <v>851290014.4862026</v>
      </c>
      <c r="L58" s="156">
        <f t="shared" si="10"/>
        <v>265949898.11797658</v>
      </c>
      <c r="M58" s="156">
        <f t="shared" si="11"/>
        <v>1414550974.028276</v>
      </c>
      <c r="O58" s="97" t="str">
        <f t="shared" si="12"/>
        <v>31/12/20x3</v>
      </c>
      <c r="P58" s="331">
        <f>+P57</f>
        <v>851290014.4862026</v>
      </c>
      <c r="Q58" s="156">
        <f t="shared" si="13"/>
        <v>245358597.01413053</v>
      </c>
      <c r="R58" s="156">
        <f t="shared" si="14"/>
        <v>1438723557.6456842</v>
      </c>
      <c r="V58" s="97" t="str">
        <f t="shared" si="15"/>
        <v>31/12/20x3</v>
      </c>
      <c r="W58" s="156">
        <f t="shared" si="16"/>
        <v>-20591301.103846043</v>
      </c>
    </row>
    <row r="59" spans="1:23" hidden="1" outlineLevel="1" x14ac:dyDescent="0.2">
      <c r="J59" s="97" t="s">
        <v>2178</v>
      </c>
      <c r="K59" s="331">
        <f t="shared" si="9"/>
        <v>851290014.4862026</v>
      </c>
      <c r="L59" s="156">
        <f t="shared" si="10"/>
        <v>188110087.21025828</v>
      </c>
      <c r="M59" s="156">
        <f t="shared" si="11"/>
        <v>751371046.75233161</v>
      </c>
      <c r="O59" s="97" t="str">
        <f t="shared" si="12"/>
        <v>31/12/20x4</v>
      </c>
      <c r="P59" s="331">
        <f>+P58</f>
        <v>851290014.4862026</v>
      </c>
      <c r="Q59" s="156">
        <f t="shared" si="13"/>
        <v>172646826.91748193</v>
      </c>
      <c r="R59" s="156">
        <f t="shared" si="14"/>
        <v>760080370.07696354</v>
      </c>
      <c r="V59" s="97" t="str">
        <f t="shared" si="15"/>
        <v>31/12/20x4</v>
      </c>
      <c r="W59" s="156">
        <f t="shared" si="16"/>
        <v>-15463260.292776346</v>
      </c>
    </row>
    <row r="60" spans="1:23" hidden="1" outlineLevel="1" x14ac:dyDescent="0.2">
      <c r="H60" s="229"/>
      <c r="J60" s="97" t="s">
        <v>2179</v>
      </c>
      <c r="K60" s="331">
        <f t="shared" si="9"/>
        <v>851290014.4862026</v>
      </c>
      <c r="L60" s="156">
        <f t="shared" si="10"/>
        <v>99918967.733868912</v>
      </c>
      <c r="M60" s="332">
        <f t="shared" si="11"/>
        <v>-2.0265579223632813E-6</v>
      </c>
      <c r="O60" s="97" t="str">
        <f t="shared" si="12"/>
        <v>31/12/20x5</v>
      </c>
      <c r="P60" s="331">
        <f>+P59</f>
        <v>851290014.4862026</v>
      </c>
      <c r="Q60" s="156">
        <f t="shared" si="13"/>
        <v>91209644.409235537</v>
      </c>
      <c r="R60" s="332">
        <f t="shared" si="14"/>
        <v>-3.4570693969726563E-6</v>
      </c>
      <c r="V60" s="97" t="str">
        <f t="shared" si="15"/>
        <v>31/12/20x5</v>
      </c>
      <c r="W60" s="156">
        <f t="shared" si="16"/>
        <v>-8709323.3246333748</v>
      </c>
    </row>
    <row r="61" spans="1:23" hidden="1" outlineLevel="1" x14ac:dyDescent="0.2">
      <c r="F61" s="15"/>
      <c r="H61" s="229"/>
      <c r="J61" s="15" t="s">
        <v>2</v>
      </c>
      <c r="K61" s="387">
        <f>+IRR(K54:K60)</f>
        <v>0.13298219057781235</v>
      </c>
      <c r="L61" s="6" t="s">
        <v>3</v>
      </c>
      <c r="M61" s="229"/>
      <c r="N61" s="229"/>
      <c r="O61" s="15" t="s">
        <v>110</v>
      </c>
      <c r="P61" s="387">
        <f>+IRR(P54:P60)</f>
        <v>0.11999999999999988</v>
      </c>
      <c r="Q61" s="6" t="s">
        <v>3</v>
      </c>
      <c r="R61" s="229"/>
      <c r="W61" s="6">
        <f>SUM(W55:W60)</f>
        <v>-125000000.00000171</v>
      </c>
    </row>
    <row r="62" spans="1:23" hidden="1" outlineLevel="1" x14ac:dyDescent="0.2">
      <c r="H62" s="229"/>
      <c r="N62" s="229"/>
      <c r="P62" s="324"/>
    </row>
    <row r="63" spans="1:23" hidden="1" outlineLevel="1" x14ac:dyDescent="0.2">
      <c r="H63" s="229"/>
      <c r="N63" s="229"/>
    </row>
    <row r="64" spans="1:23" hidden="1" outlineLevel="1" x14ac:dyDescent="0.2">
      <c r="H64" s="229"/>
      <c r="I64" s="229"/>
      <c r="J64" s="229"/>
    </row>
    <row r="65" spans="1:10" hidden="1" outlineLevel="1" x14ac:dyDescent="0.2">
      <c r="I65" s="229"/>
      <c r="J65" s="229"/>
    </row>
    <row r="66" spans="1:10" hidden="1" outlineLevel="1" x14ac:dyDescent="0.2">
      <c r="A66" s="15" t="s">
        <v>112</v>
      </c>
      <c r="D66" s="190" t="s">
        <v>176</v>
      </c>
      <c r="I66" s="229"/>
      <c r="J66" s="229"/>
    </row>
    <row r="67" spans="1:10" hidden="1" outlineLevel="1" x14ac:dyDescent="0.2">
      <c r="A67" s="25" t="s">
        <v>1013</v>
      </c>
      <c r="B67" s="25" t="s">
        <v>1</v>
      </c>
      <c r="C67" s="265" t="s">
        <v>1007</v>
      </c>
      <c r="D67" s="328" t="s">
        <v>20</v>
      </c>
      <c r="E67" s="265" t="s">
        <v>177</v>
      </c>
    </row>
    <row r="68" spans="1:10" hidden="1" outlineLevel="1" x14ac:dyDescent="0.2">
      <c r="A68" s="327"/>
      <c r="B68" s="25" t="s">
        <v>65</v>
      </c>
      <c r="C68" s="266">
        <f>SUM(C69:C70)</f>
        <v>313560000</v>
      </c>
      <c r="D68" s="343">
        <f>SUM(D69:D70)</f>
        <v>-44614172.185017943</v>
      </c>
      <c r="E68" s="266">
        <f>SUM(E69:E70)</f>
        <v>268945827.81498206</v>
      </c>
    </row>
    <row r="69" spans="1:10" hidden="1" outlineLevel="1" x14ac:dyDescent="0.2">
      <c r="A69" s="195">
        <v>2635</v>
      </c>
      <c r="B69" s="361" t="s">
        <v>25</v>
      </c>
      <c r="C69" s="196">
        <f>+C76</f>
        <v>184000000</v>
      </c>
      <c r="D69" s="342">
        <f>+E69-C69</f>
        <v>-44614172.185017943</v>
      </c>
      <c r="E69" s="196">
        <f>+D83</f>
        <v>139385827.81498206</v>
      </c>
    </row>
    <row r="70" spans="1:10" hidden="1" outlineLevel="1" x14ac:dyDescent="0.2">
      <c r="A70" s="195">
        <v>2640</v>
      </c>
      <c r="B70" s="361" t="s">
        <v>401</v>
      </c>
      <c r="C70" s="196">
        <v>129560000</v>
      </c>
      <c r="D70" s="196"/>
      <c r="E70" s="196">
        <f>+C70+D70</f>
        <v>129560000</v>
      </c>
    </row>
    <row r="71" spans="1:10" hidden="1" outlineLevel="1" x14ac:dyDescent="0.2">
      <c r="B71" s="388"/>
      <c r="C71" s="357"/>
      <c r="D71" s="357"/>
      <c r="E71" s="357"/>
    </row>
    <row r="72" spans="1:10" hidden="1" outlineLevel="1" x14ac:dyDescent="0.2"/>
    <row r="73" spans="1:10" hidden="1" outlineLevel="1" x14ac:dyDescent="0.2">
      <c r="B73" s="15" t="s">
        <v>111</v>
      </c>
    </row>
    <row r="74" spans="1:10" hidden="1" outlineLevel="1" x14ac:dyDescent="0.2">
      <c r="B74" s="1591"/>
      <c r="C74" s="1591"/>
      <c r="D74" s="1591" t="s">
        <v>28</v>
      </c>
      <c r="E74" s="1591"/>
      <c r="F74" s="1591"/>
      <c r="G74" s="1591"/>
      <c r="H74" s="1591"/>
    </row>
    <row r="75" spans="1:10" hidden="1" outlineLevel="1" x14ac:dyDescent="0.2">
      <c r="B75" s="369" t="s">
        <v>26</v>
      </c>
      <c r="C75" s="263" t="s">
        <v>34</v>
      </c>
      <c r="D75" s="263" t="s">
        <v>29</v>
      </c>
      <c r="E75" s="263" t="s">
        <v>30</v>
      </c>
      <c r="F75" s="263" t="s">
        <v>31</v>
      </c>
      <c r="G75" s="263" t="s">
        <v>32</v>
      </c>
      <c r="H75" s="263" t="s">
        <v>33</v>
      </c>
    </row>
    <row r="76" spans="1:10" hidden="1" outlineLevel="1" x14ac:dyDescent="0.2">
      <c r="B76" s="265" t="s">
        <v>4</v>
      </c>
      <c r="C76" s="266">
        <f t="shared" ref="C76:H76" si="17">+C77</f>
        <v>184000000</v>
      </c>
      <c r="D76" s="266">
        <f t="shared" si="17"/>
        <v>26500000</v>
      </c>
      <c r="E76" s="266">
        <f t="shared" si="17"/>
        <v>60000000</v>
      </c>
      <c r="F76" s="266">
        <f t="shared" si="17"/>
        <v>65000000</v>
      </c>
      <c r="G76" s="266">
        <f t="shared" si="17"/>
        <v>0</v>
      </c>
      <c r="H76" s="266">
        <f t="shared" si="17"/>
        <v>32500000</v>
      </c>
    </row>
    <row r="77" spans="1:10" hidden="1" outlineLevel="1" x14ac:dyDescent="0.2">
      <c r="B77" s="361" t="s">
        <v>27</v>
      </c>
      <c r="C77" s="196">
        <f>SUM(D77:H77)</f>
        <v>184000000</v>
      </c>
      <c r="D77" s="196">
        <v>26500000</v>
      </c>
      <c r="E77" s="196">
        <v>60000000</v>
      </c>
      <c r="F77" s="196">
        <v>65000000</v>
      </c>
      <c r="G77" s="196">
        <v>0</v>
      </c>
      <c r="H77" s="196">
        <v>32500000</v>
      </c>
    </row>
    <row r="78" spans="1:10" hidden="1" outlineLevel="1" x14ac:dyDescent="0.2">
      <c r="B78" s="388"/>
      <c r="C78" s="357"/>
      <c r="D78" s="389" t="s">
        <v>348</v>
      </c>
      <c r="E78" s="389" t="s">
        <v>349</v>
      </c>
      <c r="F78" s="389" t="s">
        <v>350</v>
      </c>
      <c r="G78" s="389"/>
      <c r="H78" s="389" t="s">
        <v>355</v>
      </c>
    </row>
    <row r="79" spans="1:10" hidden="1" outlineLevel="1" x14ac:dyDescent="0.2">
      <c r="B79" s="388"/>
      <c r="C79" s="357"/>
      <c r="D79" s="357"/>
      <c r="E79" s="357"/>
      <c r="F79" s="357"/>
      <c r="G79" s="357"/>
      <c r="H79" s="357"/>
    </row>
    <row r="80" spans="1:10" hidden="1" outlineLevel="1" x14ac:dyDescent="0.2"/>
    <row r="81" spans="2:9" hidden="1" outlineLevel="1" x14ac:dyDescent="0.2">
      <c r="B81" s="265" t="s">
        <v>26</v>
      </c>
      <c r="C81" s="263" t="s">
        <v>1007</v>
      </c>
      <c r="D81" s="263" t="s">
        <v>87</v>
      </c>
    </row>
    <row r="82" spans="2:9" hidden="1" outlineLevel="1" x14ac:dyDescent="0.2">
      <c r="B82" s="265" t="s">
        <v>4</v>
      </c>
      <c r="C82" s="266">
        <f>+C83</f>
        <v>184000000</v>
      </c>
      <c r="D82" s="266">
        <f>+D83</f>
        <v>139385827.81498206</v>
      </c>
      <c r="F82" s="190" t="s">
        <v>2181</v>
      </c>
      <c r="I82" s="240">
        <v>60000000</v>
      </c>
    </row>
    <row r="83" spans="2:9" hidden="1" outlineLevel="1" x14ac:dyDescent="0.2">
      <c r="B83" s="361" t="s">
        <v>27</v>
      </c>
      <c r="C83" s="196">
        <f>+C77</f>
        <v>184000000</v>
      </c>
      <c r="D83" s="196">
        <f>+NPV(11%,D77:H77)</f>
        <v>139385827.81498206</v>
      </c>
    </row>
    <row r="84" spans="2:9" hidden="1" outlineLevel="1" x14ac:dyDescent="0.2"/>
    <row r="85" spans="2:9" hidden="1" outlineLevel="1" x14ac:dyDescent="0.2">
      <c r="B85" s="190" t="s">
        <v>148</v>
      </c>
    </row>
    <row r="86" spans="2:9" hidden="1" outlineLevel="1" x14ac:dyDescent="0.2"/>
    <row r="87" spans="2:9" hidden="1" outlineLevel="1" x14ac:dyDescent="0.2">
      <c r="B87" s="195" t="s">
        <v>346</v>
      </c>
      <c r="C87" s="319" t="s">
        <v>347</v>
      </c>
      <c r="D87" s="319" t="s">
        <v>348</v>
      </c>
      <c r="E87" s="319" t="s">
        <v>349</v>
      </c>
      <c r="F87" s="319" t="s">
        <v>350</v>
      </c>
      <c r="G87" s="319" t="s">
        <v>355</v>
      </c>
      <c r="H87" s="319" t="s">
        <v>57</v>
      </c>
    </row>
    <row r="88" spans="2:9" hidden="1" outlineLevel="1" x14ac:dyDescent="0.2">
      <c r="B88" s="195" t="s">
        <v>352</v>
      </c>
      <c r="C88" s="347">
        <f>+D34</f>
        <v>32500000</v>
      </c>
      <c r="D88" s="347">
        <f>+E34</f>
        <v>23546000</v>
      </c>
      <c r="E88" s="347">
        <f>+F34</f>
        <v>60000000</v>
      </c>
      <c r="F88" s="347">
        <f>+G34</f>
        <v>65000000</v>
      </c>
      <c r="G88" s="195">
        <v>0</v>
      </c>
      <c r="H88" s="377">
        <f>SUM(C88:G88)</f>
        <v>181046000</v>
      </c>
    </row>
    <row r="89" spans="2:9" hidden="1" outlineLevel="1" x14ac:dyDescent="0.2">
      <c r="B89" s="195" t="s">
        <v>351</v>
      </c>
      <c r="C89" s="347">
        <f>-PV(11%,1,0,D34,0)</f>
        <v>29279279.279279277</v>
      </c>
      <c r="D89" s="347">
        <f>-PV(11%,2,0,E34,0)</f>
        <v>19110461.813164514</v>
      </c>
      <c r="E89" s="347">
        <f>-PV(11%,3,0,F34,0)</f>
        <v>43871482.87805701</v>
      </c>
      <c r="F89" s="347">
        <f>-PV(11%,4,0,G34,0)</f>
        <v>42817513.319425009</v>
      </c>
      <c r="G89" s="195">
        <v>0</v>
      </c>
      <c r="H89" s="377">
        <f t="shared" ref="H89:H94" si="18">SUM(C89:G89)</f>
        <v>135078737.28992581</v>
      </c>
      <c r="I89" s="365">
        <f>+H89-D39</f>
        <v>0</v>
      </c>
    </row>
    <row r="90" spans="2:9" hidden="1" outlineLevel="1" x14ac:dyDescent="0.2">
      <c r="B90" s="195" t="s">
        <v>353</v>
      </c>
      <c r="C90" s="347">
        <f>+C89*0.11</f>
        <v>3220720.7207207205</v>
      </c>
      <c r="D90" s="347">
        <f>+D89*0.11</f>
        <v>2102150.7994480967</v>
      </c>
      <c r="E90" s="347">
        <f>+E89*0.11</f>
        <v>4825863.1165862707</v>
      </c>
      <c r="F90" s="347">
        <f>+F89*0.11</f>
        <v>4709926.4651367506</v>
      </c>
      <c r="G90" s="347">
        <f>+G89*0.11</f>
        <v>0</v>
      </c>
      <c r="H90" s="377">
        <f t="shared" si="18"/>
        <v>14858661.101891838</v>
      </c>
    </row>
    <row r="91" spans="2:9" hidden="1" outlineLevel="1" x14ac:dyDescent="0.2">
      <c r="B91" s="195" t="s">
        <v>359</v>
      </c>
      <c r="C91" s="347">
        <v>0</v>
      </c>
      <c r="D91" s="347">
        <f>+D76</f>
        <v>26500000</v>
      </c>
      <c r="E91" s="347">
        <f>+E76</f>
        <v>60000000</v>
      </c>
      <c r="F91" s="347">
        <f>+F76</f>
        <v>65000000</v>
      </c>
      <c r="G91" s="347">
        <f>+H76</f>
        <v>32500000</v>
      </c>
      <c r="H91" s="377">
        <f t="shared" si="18"/>
        <v>184000000</v>
      </c>
    </row>
    <row r="92" spans="2:9" hidden="1" outlineLevel="1" x14ac:dyDescent="0.2">
      <c r="B92" s="195" t="s">
        <v>354</v>
      </c>
      <c r="C92" s="347">
        <v>0</v>
      </c>
      <c r="D92" s="347">
        <f>-PV(11%,1,0,D76,0)</f>
        <v>23873873.873873871</v>
      </c>
      <c r="E92" s="347">
        <f>-PV(11%,2,0,E76,0)</f>
        <v>48697345.994643286</v>
      </c>
      <c r="F92" s="347">
        <f>-PV(11%,3,0,F76,0)</f>
        <v>47527439.784561761</v>
      </c>
      <c r="G92" s="347">
        <f>-PV(11%,5,0,H76,0)</f>
        <v>19287168.161903154</v>
      </c>
      <c r="H92" s="377">
        <f t="shared" si="18"/>
        <v>139385827.81498206</v>
      </c>
      <c r="I92" s="365">
        <f>+H92-D82</f>
        <v>0</v>
      </c>
    </row>
    <row r="93" spans="2:9" hidden="1" outlineLevel="1" x14ac:dyDescent="0.2">
      <c r="B93" s="195" t="s">
        <v>358</v>
      </c>
      <c r="C93" s="347">
        <f>+I82</f>
        <v>60000000</v>
      </c>
      <c r="D93" s="347">
        <v>0</v>
      </c>
      <c r="E93" s="347">
        <v>0</v>
      </c>
      <c r="F93" s="347">
        <v>0</v>
      </c>
      <c r="G93" s="347">
        <v>0</v>
      </c>
      <c r="H93" s="377">
        <f t="shared" si="18"/>
        <v>60000000</v>
      </c>
      <c r="I93" s="365"/>
    </row>
    <row r="94" spans="2:9" hidden="1" outlineLevel="1" x14ac:dyDescent="0.2">
      <c r="B94" s="195" t="s">
        <v>356</v>
      </c>
      <c r="C94" s="347">
        <f>+C91-C88+C93</f>
        <v>27500000</v>
      </c>
      <c r="D94" s="347">
        <f>+D91-D88+D93</f>
        <v>2954000</v>
      </c>
      <c r="E94" s="347">
        <f>+E91-E88+E93</f>
        <v>0</v>
      </c>
      <c r="F94" s="347">
        <f>+F91-F88+F93</f>
        <v>0</v>
      </c>
      <c r="G94" s="347">
        <f>+G91-G88+G93</f>
        <v>32500000</v>
      </c>
      <c r="H94" s="377">
        <f t="shared" si="18"/>
        <v>62954000</v>
      </c>
    </row>
    <row r="95" spans="2:9" hidden="1" outlineLevel="1" x14ac:dyDescent="0.2">
      <c r="B95" s="195" t="s">
        <v>357</v>
      </c>
      <c r="C95" s="347">
        <f>+C92-C89+C93-C90</f>
        <v>27500000.000000004</v>
      </c>
      <c r="D95" s="347">
        <f>+D92-D89+D93-D90</f>
        <v>2661261.2612612606</v>
      </c>
      <c r="E95" s="347">
        <f>+E92-E89+E93-E90</f>
        <v>0</v>
      </c>
      <c r="F95" s="347">
        <f>+F92-F89+F93-F90</f>
        <v>0</v>
      </c>
      <c r="G95" s="347">
        <f>+G92-G89+G93-G90</f>
        <v>19287168.161903154</v>
      </c>
      <c r="H95" s="377">
        <f>SUM(C95:G95)</f>
        <v>49448429.42316442</v>
      </c>
    </row>
    <row r="96" spans="2:9" hidden="1" outlineLevel="1" x14ac:dyDescent="0.2"/>
    <row r="97" spans="1:36" hidden="1" outlineLevel="1" x14ac:dyDescent="0.2">
      <c r="H97" s="197"/>
    </row>
    <row r="98" spans="1:36" hidden="1" outlineLevel="1" x14ac:dyDescent="0.2">
      <c r="B98" s="195" t="s">
        <v>401</v>
      </c>
      <c r="C98" s="319"/>
      <c r="G98" s="190" t="s">
        <v>837</v>
      </c>
      <c r="H98" s="197">
        <f>+H90</f>
        <v>14858661.101891838</v>
      </c>
      <c r="I98" s="190" t="s">
        <v>835</v>
      </c>
    </row>
    <row r="99" spans="1:36" hidden="1" outlineLevel="1" x14ac:dyDescent="0.2">
      <c r="B99" s="195" t="s">
        <v>352</v>
      </c>
      <c r="C99" s="347">
        <f>+C27</f>
        <v>126000000</v>
      </c>
      <c r="G99" s="190" t="s">
        <v>358</v>
      </c>
      <c r="H99" s="197">
        <f>-H93</f>
        <v>-60000000</v>
      </c>
      <c r="I99" s="190" t="s">
        <v>836</v>
      </c>
    </row>
    <row r="100" spans="1:36" hidden="1" outlineLevel="1" x14ac:dyDescent="0.2">
      <c r="B100" s="195" t="s">
        <v>359</v>
      </c>
      <c r="C100" s="347">
        <f>+C70</f>
        <v>129560000</v>
      </c>
      <c r="G100" s="190" t="s">
        <v>838</v>
      </c>
      <c r="H100" s="197"/>
    </row>
    <row r="101" spans="1:36" hidden="1" outlineLevel="1" x14ac:dyDescent="0.2">
      <c r="B101" s="195" t="s">
        <v>407</v>
      </c>
      <c r="C101" s="347">
        <v>165000000</v>
      </c>
    </row>
    <row r="102" spans="1:36" hidden="1" outlineLevel="1" x14ac:dyDescent="0.2">
      <c r="B102" s="195" t="s">
        <v>408</v>
      </c>
      <c r="C102" s="347">
        <v>161440000</v>
      </c>
      <c r="D102" s="197"/>
      <c r="H102" s="197">
        <f>+H95</f>
        <v>49448429.42316442</v>
      </c>
    </row>
    <row r="103" spans="1:36" collapsed="1" x14ac:dyDescent="0.2">
      <c r="B103" s="282" t="s">
        <v>120</v>
      </c>
      <c r="C103" s="368">
        <f>+C101+C99-C100-C102</f>
        <v>0</v>
      </c>
      <c r="D103" s="190" t="s">
        <v>363</v>
      </c>
      <c r="H103" s="197">
        <f>+H89-H92</f>
        <v>-4307090.5250562429</v>
      </c>
    </row>
    <row r="110" spans="1:36" x14ac:dyDescent="0.2">
      <c r="A110" s="191" t="s">
        <v>2158</v>
      </c>
      <c r="B110" s="192"/>
      <c r="C110" s="193"/>
      <c r="D110" s="193"/>
      <c r="E110" s="193"/>
      <c r="F110" s="192"/>
      <c r="I110" s="382"/>
      <c r="L110" s="240"/>
      <c r="M110" s="240"/>
    </row>
    <row r="111" spans="1:36" x14ac:dyDescent="0.2">
      <c r="A111" s="192"/>
      <c r="B111" s="192"/>
      <c r="C111" s="193"/>
      <c r="D111" s="193"/>
      <c r="E111" s="193"/>
      <c r="F111" s="192"/>
      <c r="AH111" s="240" t="s">
        <v>892</v>
      </c>
      <c r="AJ111" s="190">
        <v>300</v>
      </c>
    </row>
    <row r="112" spans="1:36" outlineLevel="1" x14ac:dyDescent="0.2">
      <c r="J112" s="1591" t="s">
        <v>930</v>
      </c>
      <c r="K112" s="1591"/>
      <c r="L112" s="1591"/>
      <c r="M112" s="1591"/>
      <c r="O112" s="1591" t="s">
        <v>107</v>
      </c>
      <c r="P112" s="1591"/>
      <c r="Q112" s="1591"/>
      <c r="R112" s="1591"/>
      <c r="V112" s="1591" t="s">
        <v>108</v>
      </c>
      <c r="W112" s="1591"/>
      <c r="AC112" s="229" t="s">
        <v>889</v>
      </c>
      <c r="AF112" s="190" t="s">
        <v>891</v>
      </c>
      <c r="AH112" s="240" t="s">
        <v>893</v>
      </c>
      <c r="AJ112" s="190">
        <v>100</v>
      </c>
    </row>
    <row r="113" spans="1:37" ht="15" customHeight="1" outlineLevel="1" x14ac:dyDescent="0.2">
      <c r="A113" s="15" t="s">
        <v>104</v>
      </c>
      <c r="B113" s="15"/>
      <c r="F113" s="1592" t="s">
        <v>2180</v>
      </c>
      <c r="G113" s="1593"/>
      <c r="H113" s="1594"/>
      <c r="J113" s="263" t="s">
        <v>106</v>
      </c>
      <c r="K113" s="328" t="s">
        <v>42</v>
      </c>
      <c r="L113" s="328" t="s">
        <v>76</v>
      </c>
      <c r="M113" s="328" t="s">
        <v>48</v>
      </c>
      <c r="O113" s="263" t="s">
        <v>106</v>
      </c>
      <c r="P113" s="328" t="s">
        <v>42</v>
      </c>
      <c r="Q113" s="328" t="s">
        <v>76</v>
      </c>
      <c r="R113" s="328" t="s">
        <v>48</v>
      </c>
      <c r="V113" s="263" t="s">
        <v>106</v>
      </c>
      <c r="W113" s="328" t="s">
        <v>76</v>
      </c>
      <c r="AH113" s="240" t="s">
        <v>894</v>
      </c>
      <c r="AJ113" s="190">
        <v>200</v>
      </c>
    </row>
    <row r="114" spans="1:37" outlineLevel="1" x14ac:dyDescent="0.2">
      <c r="A114" s="25" t="s">
        <v>1013</v>
      </c>
      <c r="B114" s="25" t="s">
        <v>1</v>
      </c>
      <c r="C114" s="265" t="s">
        <v>1009</v>
      </c>
      <c r="D114" s="328" t="s">
        <v>20</v>
      </c>
      <c r="E114" s="383" t="s">
        <v>177</v>
      </c>
      <c r="F114" s="1595"/>
      <c r="G114" s="1596"/>
      <c r="H114" s="1597"/>
      <c r="J114" s="195"/>
      <c r="K114" s="156">
        <f>+P114+125000000</f>
        <v>-3375000000</v>
      </c>
      <c r="L114" s="156"/>
      <c r="M114" s="156">
        <f>-K114</f>
        <v>3375000000</v>
      </c>
      <c r="O114" s="195"/>
      <c r="P114" s="156">
        <f>(3500000000)*-1</f>
        <v>-3500000000</v>
      </c>
      <c r="Q114" s="156"/>
      <c r="R114" s="156">
        <f>-P114</f>
        <v>3500000000</v>
      </c>
      <c r="T114" s="263" t="s">
        <v>109</v>
      </c>
      <c r="V114" s="195"/>
      <c r="W114" s="156"/>
      <c r="AC114" s="229" t="s">
        <v>890</v>
      </c>
      <c r="AH114" s="240" t="s">
        <v>895</v>
      </c>
      <c r="AJ114" s="190">
        <v>100</v>
      </c>
    </row>
    <row r="115" spans="1:37" outlineLevel="1" x14ac:dyDescent="0.2">
      <c r="A115" s="195"/>
      <c r="B115" s="319" t="s">
        <v>18</v>
      </c>
      <c r="C115" s="320">
        <f>+SUM(C116:C123)</f>
        <v>1438723557.6456842</v>
      </c>
      <c r="D115" s="360">
        <f>+SUM(D116:D123)</f>
        <v>0</v>
      </c>
      <c r="E115" s="320">
        <f>+SUM(E116:E123)</f>
        <v>1438723557.6456842</v>
      </c>
      <c r="F115" s="1595"/>
      <c r="G115" s="1596"/>
      <c r="H115" s="1597"/>
      <c r="J115" s="97" t="s">
        <v>2175</v>
      </c>
      <c r="K115" s="331">
        <f t="shared" ref="K115:K120" si="19">+P115</f>
        <v>851290014.4862026</v>
      </c>
      <c r="L115" s="156">
        <f t="shared" ref="L115:L120" si="20">+M114*$K$16</f>
        <v>448814893.20011669</v>
      </c>
      <c r="M115" s="156">
        <f t="shared" ref="M115:M120" si="21">+M114+L115-K115</f>
        <v>2972524878.7139139</v>
      </c>
      <c r="O115" s="97" t="str">
        <f t="shared" ref="O115:O120" si="22">+J115</f>
        <v>31/12/20x0</v>
      </c>
      <c r="P115" s="331">
        <f>-T115</f>
        <v>851290014.4862026</v>
      </c>
      <c r="Q115" s="156">
        <f t="shared" ref="Q115:Q120" si="23">+R114*$P$16</f>
        <v>419999999.99999958</v>
      </c>
      <c r="R115" s="156">
        <f t="shared" ref="R115:R120" si="24">+R114+Q115-P115</f>
        <v>3068709985.5137968</v>
      </c>
      <c r="T115" s="384">
        <f>+PMT(12%,6,3500000000,0,0)</f>
        <v>-851290014.4862026</v>
      </c>
      <c r="V115" s="97" t="str">
        <f t="shared" ref="V115:V120" si="25">+O115</f>
        <v>31/12/20x0</v>
      </c>
      <c r="W115" s="156">
        <f t="shared" ref="W115:W120" si="26">+Q115-L115</f>
        <v>-28814893.200117111</v>
      </c>
      <c r="AC115" s="229" t="s">
        <v>898</v>
      </c>
      <c r="AH115" s="240" t="s">
        <v>896</v>
      </c>
      <c r="AJ115" s="190">
        <v>500</v>
      </c>
    </row>
    <row r="116" spans="1:37" outlineLevel="1" x14ac:dyDescent="0.2">
      <c r="A116" s="195">
        <v>210510</v>
      </c>
      <c r="B116" s="361" t="s">
        <v>18</v>
      </c>
      <c r="C116" s="342">
        <f>+R118</f>
        <v>1438723557.6456842</v>
      </c>
      <c r="D116" s="342"/>
      <c r="E116" s="342">
        <f>+C116+D116</f>
        <v>1438723557.6456842</v>
      </c>
      <c r="F116" s="1595"/>
      <c r="G116" s="1596"/>
      <c r="H116" s="1597"/>
      <c r="J116" s="385" t="s">
        <v>2174</v>
      </c>
      <c r="K116" s="386">
        <f t="shared" si="19"/>
        <v>851290014.4862026</v>
      </c>
      <c r="L116" s="332">
        <f t="shared" si="20"/>
        <v>395292869.91842228</v>
      </c>
      <c r="M116" s="332">
        <f t="shared" si="21"/>
        <v>2516527734.1461334</v>
      </c>
      <c r="N116" s="242">
        <f>+M116-M117</f>
        <v>516636643.7496314</v>
      </c>
      <c r="O116" s="385" t="str">
        <f t="shared" si="22"/>
        <v>31/12/20x1</v>
      </c>
      <c r="P116" s="386">
        <f>+P115</f>
        <v>851290014.4862026</v>
      </c>
      <c r="Q116" s="332">
        <f t="shared" si="23"/>
        <v>368245198.26165527</v>
      </c>
      <c r="R116" s="332">
        <f t="shared" si="24"/>
        <v>2585665169.2892494</v>
      </c>
      <c r="V116" s="385" t="str">
        <f t="shared" si="25"/>
        <v>31/12/20x1</v>
      </c>
      <c r="W116" s="332">
        <f t="shared" si="26"/>
        <v>-27047671.656767011</v>
      </c>
      <c r="AH116" s="240" t="s">
        <v>897</v>
      </c>
      <c r="AJ116" s="190">
        <v>600</v>
      </c>
    </row>
    <row r="117" spans="1:37" outlineLevel="1" x14ac:dyDescent="0.2">
      <c r="F117" s="1598"/>
      <c r="G117" s="1599"/>
      <c r="H117" s="1600"/>
      <c r="J117" s="391" t="s">
        <v>2176</v>
      </c>
      <c r="K117" s="392">
        <f t="shared" si="19"/>
        <v>851290014.4862026</v>
      </c>
      <c r="L117" s="393">
        <f t="shared" si="20"/>
        <v>334653370.73657143</v>
      </c>
      <c r="M117" s="393">
        <f t="shared" si="21"/>
        <v>1999891090.396502</v>
      </c>
      <c r="N117" s="242">
        <f>+M117-M118</f>
        <v>585340116.36822605</v>
      </c>
      <c r="O117" s="391" t="str">
        <f t="shared" si="22"/>
        <v>31/12/20x2</v>
      </c>
      <c r="P117" s="392">
        <f>+P116</f>
        <v>851290014.4862026</v>
      </c>
      <c r="Q117" s="393">
        <f t="shared" si="23"/>
        <v>310279820.3147096</v>
      </c>
      <c r="R117" s="393">
        <f t="shared" si="24"/>
        <v>2044654975.1177564</v>
      </c>
      <c r="V117" s="391" t="str">
        <f t="shared" si="25"/>
        <v>31/12/20x2</v>
      </c>
      <c r="W117" s="393">
        <f t="shared" si="26"/>
        <v>-24373550.421861827</v>
      </c>
      <c r="AC117" s="229" t="s">
        <v>899</v>
      </c>
      <c r="AH117" s="240"/>
      <c r="AJ117" s="15">
        <f>SUM(AJ111:AJ116)</f>
        <v>1800</v>
      </c>
      <c r="AK117" s="190" t="s">
        <v>908</v>
      </c>
    </row>
    <row r="118" spans="1:37" outlineLevel="1" x14ac:dyDescent="0.2">
      <c r="J118" s="394" t="s">
        <v>2177</v>
      </c>
      <c r="K118" s="395">
        <f t="shared" si="19"/>
        <v>851290014.4862026</v>
      </c>
      <c r="L118" s="396">
        <f t="shared" si="20"/>
        <v>265949898.11797658</v>
      </c>
      <c r="M118" s="396">
        <f t="shared" si="21"/>
        <v>1414550974.028276</v>
      </c>
      <c r="N118" s="242">
        <f>+M118-M119</f>
        <v>663179927.27594435</v>
      </c>
      <c r="O118" s="394" t="str">
        <f t="shared" si="22"/>
        <v>31/12/20x3</v>
      </c>
      <c r="P118" s="395">
        <f>+P117</f>
        <v>851290014.4862026</v>
      </c>
      <c r="Q118" s="396">
        <f t="shared" si="23"/>
        <v>245358597.01413053</v>
      </c>
      <c r="R118" s="396">
        <f t="shared" si="24"/>
        <v>1438723557.6456842</v>
      </c>
      <c r="V118" s="394" t="str">
        <f t="shared" si="25"/>
        <v>31/12/20x3</v>
      </c>
      <c r="W118" s="396">
        <f t="shared" si="26"/>
        <v>-20591301.103846043</v>
      </c>
    </row>
    <row r="119" spans="1:37" outlineLevel="1" x14ac:dyDescent="0.2">
      <c r="J119" s="97" t="s">
        <v>2178</v>
      </c>
      <c r="K119" s="331">
        <f t="shared" si="19"/>
        <v>851290014.4862026</v>
      </c>
      <c r="L119" s="156">
        <f t="shared" si="20"/>
        <v>188110087.21025828</v>
      </c>
      <c r="M119" s="156">
        <f t="shared" si="21"/>
        <v>751371046.75233161</v>
      </c>
      <c r="O119" s="97" t="str">
        <f t="shared" si="22"/>
        <v>31/12/20x4</v>
      </c>
      <c r="P119" s="331">
        <f>+P118</f>
        <v>851290014.4862026</v>
      </c>
      <c r="Q119" s="156">
        <f t="shared" si="23"/>
        <v>172646826.91748193</v>
      </c>
      <c r="R119" s="156">
        <f t="shared" si="24"/>
        <v>760080370.07696354</v>
      </c>
      <c r="V119" s="97" t="str">
        <f t="shared" si="25"/>
        <v>31/12/20x4</v>
      </c>
      <c r="W119" s="156">
        <f t="shared" si="26"/>
        <v>-15463260.292776346</v>
      </c>
      <c r="AC119" s="229" t="s">
        <v>900</v>
      </c>
      <c r="AH119" s="190" t="s">
        <v>1007</v>
      </c>
      <c r="AI119" s="190" t="s">
        <v>318</v>
      </c>
    </row>
    <row r="120" spans="1:37" outlineLevel="1" x14ac:dyDescent="0.2">
      <c r="H120" s="229"/>
      <c r="J120" s="97" t="s">
        <v>2179</v>
      </c>
      <c r="K120" s="331">
        <f t="shared" si="19"/>
        <v>851290014.4862026</v>
      </c>
      <c r="L120" s="156">
        <f t="shared" si="20"/>
        <v>99918967.733868912</v>
      </c>
      <c r="M120" s="332">
        <f t="shared" si="21"/>
        <v>-2.0265579223632813E-6</v>
      </c>
      <c r="O120" s="97" t="str">
        <f t="shared" si="22"/>
        <v>31/12/20x5</v>
      </c>
      <c r="P120" s="331">
        <f>+P119</f>
        <v>851290014.4862026</v>
      </c>
      <c r="Q120" s="156">
        <f t="shared" si="23"/>
        <v>91209644.409235537</v>
      </c>
      <c r="R120" s="332">
        <f t="shared" si="24"/>
        <v>-3.4570693969726563E-6</v>
      </c>
      <c r="V120" s="97" t="str">
        <f t="shared" si="25"/>
        <v>31/12/20x5</v>
      </c>
      <c r="W120" s="156">
        <f t="shared" si="26"/>
        <v>-8709323.3246333748</v>
      </c>
      <c r="AH120" s="190" t="s">
        <v>77</v>
      </c>
      <c r="AI120" s="190" t="s">
        <v>909</v>
      </c>
      <c r="AK120" s="190" t="s">
        <v>910</v>
      </c>
    </row>
    <row r="121" spans="1:37" outlineLevel="1" x14ac:dyDescent="0.2">
      <c r="F121" s="15"/>
      <c r="H121" s="229"/>
      <c r="J121" s="15" t="s">
        <v>2</v>
      </c>
      <c r="K121" s="387">
        <f>+IRR(K114:K120)</f>
        <v>0.13298219057781235</v>
      </c>
      <c r="L121" s="6" t="s">
        <v>3</v>
      </c>
      <c r="M121" s="229"/>
      <c r="N121" s="229"/>
      <c r="O121" s="15" t="s">
        <v>110</v>
      </c>
      <c r="P121" s="387">
        <f>+IRR(P114:P120)</f>
        <v>0.11999999999999988</v>
      </c>
      <c r="Q121" s="6" t="s">
        <v>3</v>
      </c>
      <c r="R121" s="229"/>
      <c r="W121" s="6">
        <f>SUM(W115:W120)</f>
        <v>-125000000.00000171</v>
      </c>
      <c r="AC121" s="229" t="s">
        <v>901</v>
      </c>
    </row>
    <row r="122" spans="1:37" outlineLevel="1" x14ac:dyDescent="0.2">
      <c r="H122" s="229"/>
      <c r="N122" s="229"/>
      <c r="P122" s="324"/>
    </row>
    <row r="123" spans="1:37" outlineLevel="1" x14ac:dyDescent="0.2">
      <c r="H123" s="229"/>
      <c r="N123" s="334"/>
      <c r="P123" s="324"/>
      <c r="AC123" s="229" t="s">
        <v>902</v>
      </c>
    </row>
    <row r="124" spans="1:37" outlineLevel="1" x14ac:dyDescent="0.2">
      <c r="A124" s="15" t="s">
        <v>112</v>
      </c>
      <c r="D124" s="190" t="s">
        <v>176</v>
      </c>
      <c r="J124" s="229"/>
      <c r="K124" s="229"/>
      <c r="L124" s="229"/>
      <c r="M124" s="229"/>
      <c r="N124" s="229"/>
      <c r="O124" s="229"/>
      <c r="AC124" s="229" t="s">
        <v>903</v>
      </c>
      <c r="AD124" s="334" t="e">
        <f>+#REF!</f>
        <v>#REF!</v>
      </c>
      <c r="AE124" s="334" t="e">
        <f>+#REF!*#REF!</f>
        <v>#REF!</v>
      </c>
      <c r="AF124" s="334" t="e">
        <f>+#REF!+AE124-AD124</f>
        <v>#REF!</v>
      </c>
      <c r="AG124" s="324" t="e">
        <f t="shared" ref="AG124:AG128" si="27">+AD124</f>
        <v>#REF!</v>
      </c>
      <c r="AH124" s="324" t="e">
        <f>+#REF!*$AG$132</f>
        <v>#REF!</v>
      </c>
      <c r="AI124" s="324" t="e">
        <f>+#REF!+AH124-AG124</f>
        <v>#REF!</v>
      </c>
      <c r="AJ124" s="324" t="e">
        <f t="shared" ref="AJ124:AJ128" si="28">+AE124-AH124</f>
        <v>#REF!</v>
      </c>
    </row>
    <row r="125" spans="1:37" outlineLevel="1" x14ac:dyDescent="0.2">
      <c r="A125" s="25" t="s">
        <v>1013</v>
      </c>
      <c r="B125" s="25" t="s">
        <v>1</v>
      </c>
      <c r="C125" s="265" t="s">
        <v>1007</v>
      </c>
      <c r="D125" s="328" t="s">
        <v>20</v>
      </c>
      <c r="E125" s="265" t="s">
        <v>177</v>
      </c>
      <c r="J125" s="229"/>
      <c r="K125" s="229"/>
      <c r="L125" s="229"/>
      <c r="M125" s="229"/>
      <c r="N125" s="229"/>
      <c r="O125" s="229"/>
      <c r="AC125" s="229" t="s">
        <v>904</v>
      </c>
      <c r="AD125" s="334" t="e">
        <f t="shared" ref="AD125:AD128" si="29">+AD124</f>
        <v>#REF!</v>
      </c>
      <c r="AE125" s="334" t="e">
        <f>+AF124*#REF!</f>
        <v>#REF!</v>
      </c>
      <c r="AF125" s="334" t="e">
        <f t="shared" ref="AF125:AF128" si="30">+AF124+AE125-AD125</f>
        <v>#REF!</v>
      </c>
      <c r="AG125" s="324" t="e">
        <f t="shared" si="27"/>
        <v>#REF!</v>
      </c>
      <c r="AH125" s="324" t="e">
        <f>+AI124*$AG$132</f>
        <v>#REF!</v>
      </c>
      <c r="AI125" s="324" t="e">
        <f t="shared" ref="AI125:AI128" si="31">+AI124+AH125-AG125</f>
        <v>#REF!</v>
      </c>
      <c r="AJ125" s="324" t="e">
        <f t="shared" si="28"/>
        <v>#REF!</v>
      </c>
    </row>
    <row r="126" spans="1:37" outlineLevel="1" x14ac:dyDescent="0.2">
      <c r="A126" s="327"/>
      <c r="B126" s="25" t="s">
        <v>65</v>
      </c>
      <c r="C126" s="266">
        <f>SUM(C127:C128)</f>
        <v>449817000</v>
      </c>
      <c r="D126" s="343">
        <f>SUM(D127:D128)</f>
        <v>0</v>
      </c>
      <c r="E126" s="266">
        <f>SUM(E127:E128)</f>
        <v>449817000</v>
      </c>
      <c r="J126" s="229"/>
      <c r="K126" s="229"/>
      <c r="L126" s="229"/>
      <c r="M126" s="229"/>
      <c r="N126" s="229"/>
      <c r="O126" s="229"/>
      <c r="AC126" s="229" t="s">
        <v>905</v>
      </c>
      <c r="AD126" s="334" t="e">
        <f t="shared" si="29"/>
        <v>#REF!</v>
      </c>
      <c r="AE126" s="334" t="e">
        <f>+AF125*#REF!</f>
        <v>#REF!</v>
      </c>
      <c r="AF126" s="334" t="e">
        <f t="shared" si="30"/>
        <v>#REF!</v>
      </c>
      <c r="AG126" s="324" t="e">
        <f t="shared" si="27"/>
        <v>#REF!</v>
      </c>
      <c r="AH126" s="324" t="e">
        <f>+AI125*$AG$132</f>
        <v>#REF!</v>
      </c>
      <c r="AI126" s="324" t="e">
        <f t="shared" si="31"/>
        <v>#REF!</v>
      </c>
      <c r="AJ126" s="324" t="e">
        <f t="shared" si="28"/>
        <v>#REF!</v>
      </c>
    </row>
    <row r="127" spans="1:37" outlineLevel="1" x14ac:dyDescent="0.2">
      <c r="A127" s="195">
        <v>2635</v>
      </c>
      <c r="B127" s="361" t="s">
        <v>25</v>
      </c>
      <c r="C127" s="342">
        <f>+C134</f>
        <v>284074000</v>
      </c>
      <c r="D127" s="342"/>
      <c r="E127" s="342">
        <f>+C127+D127</f>
        <v>284074000</v>
      </c>
      <c r="AC127" s="229" t="s">
        <v>906</v>
      </c>
      <c r="AD127" s="334" t="e">
        <f t="shared" si="29"/>
        <v>#REF!</v>
      </c>
      <c r="AE127" s="334" t="e">
        <f>+AF126*#REF!</f>
        <v>#REF!</v>
      </c>
      <c r="AF127" s="334" t="e">
        <f t="shared" si="30"/>
        <v>#REF!</v>
      </c>
      <c r="AG127" s="324" t="e">
        <f t="shared" si="27"/>
        <v>#REF!</v>
      </c>
      <c r="AH127" s="324" t="e">
        <f>+AI126*$AG$132</f>
        <v>#REF!</v>
      </c>
      <c r="AI127" s="324" t="e">
        <f t="shared" si="31"/>
        <v>#REF!</v>
      </c>
      <c r="AJ127" s="324" t="e">
        <f t="shared" si="28"/>
        <v>#REF!</v>
      </c>
    </row>
    <row r="128" spans="1:37" outlineLevel="1" x14ac:dyDescent="0.2">
      <c r="A128" s="195">
        <v>2640</v>
      </c>
      <c r="B128" s="361" t="s">
        <v>401</v>
      </c>
      <c r="C128" s="342">
        <v>165743000</v>
      </c>
      <c r="D128" s="261"/>
      <c r="E128" s="342">
        <f>+C128+D128</f>
        <v>165743000</v>
      </c>
      <c r="AC128" s="229" t="s">
        <v>907</v>
      </c>
      <c r="AD128" s="334" t="e">
        <f t="shared" si="29"/>
        <v>#REF!</v>
      </c>
      <c r="AE128" s="334" t="e">
        <f>+AF127*#REF!</f>
        <v>#REF!</v>
      </c>
      <c r="AF128" s="397" t="e">
        <f t="shared" si="30"/>
        <v>#REF!</v>
      </c>
      <c r="AG128" s="324" t="e">
        <f t="shared" si="27"/>
        <v>#REF!</v>
      </c>
      <c r="AH128" s="324" t="e">
        <f>+AI127*$AG$132</f>
        <v>#REF!</v>
      </c>
      <c r="AI128" s="398" t="e">
        <f t="shared" si="31"/>
        <v>#REF!</v>
      </c>
      <c r="AJ128" s="324" t="e">
        <f t="shared" si="28"/>
        <v>#REF!</v>
      </c>
    </row>
    <row r="129" spans="2:36" ht="25.5" outlineLevel="1" x14ac:dyDescent="0.2">
      <c r="B129" s="388" t="s">
        <v>911</v>
      </c>
      <c r="C129" s="357"/>
      <c r="D129" s="357"/>
      <c r="E129" s="357"/>
      <c r="AJ129" s="399" t="e">
        <f>SUM(AJ124:AJ128)</f>
        <v>#REF!</v>
      </c>
    </row>
    <row r="130" spans="2:36" outlineLevel="1" x14ac:dyDescent="0.2"/>
    <row r="131" spans="2:36" outlineLevel="1" x14ac:dyDescent="0.2">
      <c r="B131" s="15" t="s">
        <v>111</v>
      </c>
      <c r="AC131" s="229" t="s">
        <v>85</v>
      </c>
      <c r="AD131" s="334" t="e">
        <f>+NPV(#REF!,AD124:AD128)</f>
        <v>#REF!</v>
      </c>
      <c r="AG131" s="324" t="e">
        <f>NPV(AG132,AG124:AG128)</f>
        <v>#VALUE!</v>
      </c>
    </row>
    <row r="132" spans="2:36" outlineLevel="1" x14ac:dyDescent="0.2">
      <c r="B132" s="1591"/>
      <c r="C132" s="1591"/>
      <c r="D132" s="1601" t="s">
        <v>28</v>
      </c>
      <c r="E132" s="1601"/>
      <c r="F132" s="1601"/>
      <c r="G132" s="1601"/>
      <c r="H132" s="1601"/>
      <c r="I132" s="1601"/>
      <c r="AC132" s="229" t="s">
        <v>129</v>
      </c>
      <c r="AD132" s="400" t="e">
        <f>+IRR(AD124:AD128)</f>
        <v>#VALUE!</v>
      </c>
      <c r="AG132" s="400" t="e">
        <f>+IRR(AG124:AG128)</f>
        <v>#VALUE!</v>
      </c>
    </row>
    <row r="133" spans="2:36" outlineLevel="1" x14ac:dyDescent="0.2">
      <c r="B133" s="369" t="s">
        <v>26</v>
      </c>
      <c r="C133" s="263" t="s">
        <v>34</v>
      </c>
      <c r="D133" s="263" t="s">
        <v>29</v>
      </c>
      <c r="E133" s="263" t="s">
        <v>30</v>
      </c>
      <c r="F133" s="263" t="s">
        <v>31</v>
      </c>
      <c r="G133" s="263" t="s">
        <v>32</v>
      </c>
      <c r="H133" s="263" t="s">
        <v>33</v>
      </c>
      <c r="I133" s="263" t="s">
        <v>420</v>
      </c>
    </row>
    <row r="134" spans="2:36" outlineLevel="1" x14ac:dyDescent="0.2">
      <c r="B134" s="265" t="s">
        <v>4</v>
      </c>
      <c r="C134" s="266">
        <f t="shared" ref="C134:I134" si="32">+C135</f>
        <v>284074000</v>
      </c>
      <c r="D134" s="266">
        <f t="shared" si="32"/>
        <v>62500000</v>
      </c>
      <c r="E134" s="266">
        <f t="shared" si="32"/>
        <v>70000000</v>
      </c>
      <c r="F134" s="266">
        <f t="shared" si="32"/>
        <v>0</v>
      </c>
      <c r="G134" s="266">
        <f t="shared" si="32"/>
        <v>50000000</v>
      </c>
      <c r="H134" s="266">
        <f t="shared" si="32"/>
        <v>36574000</v>
      </c>
      <c r="I134" s="266">
        <f t="shared" si="32"/>
        <v>65000000</v>
      </c>
    </row>
    <row r="135" spans="2:36" outlineLevel="1" x14ac:dyDescent="0.2">
      <c r="B135" s="361" t="s">
        <v>27</v>
      </c>
      <c r="C135" s="342">
        <f>SUM(D135:I135)</f>
        <v>284074000</v>
      </c>
      <c r="D135" s="342">
        <v>62500000</v>
      </c>
      <c r="E135" s="342">
        <v>70000000</v>
      </c>
      <c r="F135" s="342">
        <v>0</v>
      </c>
      <c r="G135" s="342">
        <v>50000000</v>
      </c>
      <c r="H135" s="342">
        <v>36574000</v>
      </c>
      <c r="I135" s="342">
        <v>65000000</v>
      </c>
    </row>
    <row r="136" spans="2:36" outlineLevel="1" x14ac:dyDescent="0.2">
      <c r="B136" s="388"/>
      <c r="C136" s="357"/>
      <c r="D136" s="319" t="s">
        <v>349</v>
      </c>
      <c r="E136" s="319" t="s">
        <v>350</v>
      </c>
      <c r="F136" s="319"/>
      <c r="G136" s="319" t="s">
        <v>355</v>
      </c>
      <c r="H136" s="319" t="s">
        <v>421</v>
      </c>
      <c r="I136" s="319" t="s">
        <v>418</v>
      </c>
    </row>
    <row r="137" spans="2:36" outlineLevel="1" x14ac:dyDescent="0.2">
      <c r="B137" s="388"/>
      <c r="C137" s="357"/>
      <c r="D137" s="357"/>
      <c r="E137" s="357"/>
      <c r="F137" s="357"/>
      <c r="G137" s="357"/>
      <c r="H137" s="357"/>
    </row>
    <row r="138" spans="2:36" outlineLevel="1" x14ac:dyDescent="0.2"/>
    <row r="139" spans="2:36" outlineLevel="1" x14ac:dyDescent="0.2">
      <c r="B139" s="265" t="s">
        <v>26</v>
      </c>
      <c r="C139" s="263" t="s">
        <v>1007</v>
      </c>
      <c r="D139" s="263" t="s">
        <v>87</v>
      </c>
    </row>
    <row r="140" spans="2:36" outlineLevel="1" x14ac:dyDescent="0.2">
      <c r="B140" s="265" t="s">
        <v>4</v>
      </c>
      <c r="C140" s="266">
        <f>+C141</f>
        <v>284074000</v>
      </c>
      <c r="D140" s="266">
        <f>+D141</f>
        <v>197067139.47496226</v>
      </c>
      <c r="F140" s="190" t="s">
        <v>2182</v>
      </c>
      <c r="I140" s="240">
        <v>35000000</v>
      </c>
    </row>
    <row r="141" spans="2:36" outlineLevel="1" x14ac:dyDescent="0.2">
      <c r="B141" s="361" t="s">
        <v>27</v>
      </c>
      <c r="C141" s="261">
        <f>+C135</f>
        <v>284074000</v>
      </c>
      <c r="D141" s="261">
        <f>+NPV(12%,D135:I135)</f>
        <v>197067139.47496226</v>
      </c>
    </row>
    <row r="142" spans="2:36" outlineLevel="1" x14ac:dyDescent="0.2"/>
    <row r="143" spans="2:36" outlineLevel="1" x14ac:dyDescent="0.2">
      <c r="B143" s="190" t="s">
        <v>411</v>
      </c>
    </row>
    <row r="144" spans="2:36" outlineLevel="1" x14ac:dyDescent="0.2">
      <c r="D144" s="190" t="s">
        <v>413</v>
      </c>
      <c r="E144" s="190" t="s">
        <v>414</v>
      </c>
      <c r="F144" s="190" t="s">
        <v>415</v>
      </c>
      <c r="G144" s="190" t="s">
        <v>416</v>
      </c>
      <c r="H144" s="190" t="s">
        <v>417</v>
      </c>
    </row>
    <row r="145" spans="2:10" outlineLevel="1" x14ac:dyDescent="0.2">
      <c r="B145" s="195" t="s">
        <v>346</v>
      </c>
      <c r="C145" s="319" t="s">
        <v>348</v>
      </c>
      <c r="D145" s="319" t="s">
        <v>349</v>
      </c>
      <c r="E145" s="319" t="s">
        <v>350</v>
      </c>
      <c r="F145" s="319" t="s">
        <v>355</v>
      </c>
      <c r="G145" s="319" t="s">
        <v>419</v>
      </c>
      <c r="H145" s="319" t="s">
        <v>412</v>
      </c>
      <c r="I145" s="319" t="s">
        <v>57</v>
      </c>
    </row>
    <row r="146" spans="2:10" outlineLevel="1" x14ac:dyDescent="0.2">
      <c r="B146" s="195" t="s">
        <v>352</v>
      </c>
      <c r="C146" s="342">
        <f t="shared" ref="C146:F147" si="33">+D91</f>
        <v>26500000</v>
      </c>
      <c r="D146" s="342">
        <f t="shared" si="33"/>
        <v>60000000</v>
      </c>
      <c r="E146" s="342">
        <f t="shared" si="33"/>
        <v>65000000</v>
      </c>
      <c r="F146" s="342">
        <f t="shared" si="33"/>
        <v>32500000</v>
      </c>
      <c r="G146" s="342"/>
      <c r="H146" s="342">
        <f>+I91</f>
        <v>0</v>
      </c>
      <c r="I146" s="342">
        <f t="shared" ref="I146:I153" si="34">SUM(C146:H146)</f>
        <v>184000000</v>
      </c>
      <c r="J146" s="365">
        <f>+I146-C82</f>
        <v>0</v>
      </c>
    </row>
    <row r="147" spans="2:10" outlineLevel="1" x14ac:dyDescent="0.2">
      <c r="B147" s="195" t="s">
        <v>351</v>
      </c>
      <c r="C147" s="342">
        <f t="shared" si="33"/>
        <v>23873873.873873871</v>
      </c>
      <c r="D147" s="342">
        <f t="shared" si="33"/>
        <v>48697345.994643286</v>
      </c>
      <c r="E147" s="342">
        <f t="shared" si="33"/>
        <v>47527439.784561761</v>
      </c>
      <c r="F147" s="342">
        <f t="shared" si="33"/>
        <v>19287168.161903154</v>
      </c>
      <c r="G147" s="342"/>
      <c r="H147" s="342"/>
      <c r="I147" s="342">
        <f t="shared" si="34"/>
        <v>139385827.81498206</v>
      </c>
      <c r="J147" s="365">
        <f>+I147-D82</f>
        <v>0</v>
      </c>
    </row>
    <row r="148" spans="2:10" outlineLevel="1" x14ac:dyDescent="0.2">
      <c r="B148" s="195" t="s">
        <v>353</v>
      </c>
      <c r="C148" s="342">
        <f t="shared" ref="C148:H148" si="35">+C147*0.11</f>
        <v>2626126.1261261259</v>
      </c>
      <c r="D148" s="342">
        <f t="shared" si="35"/>
        <v>5356708.0594107611</v>
      </c>
      <c r="E148" s="342">
        <f t="shared" si="35"/>
        <v>5228018.3763017934</v>
      </c>
      <c r="F148" s="342">
        <f t="shared" si="35"/>
        <v>2121588.4978093468</v>
      </c>
      <c r="G148" s="342">
        <f t="shared" si="35"/>
        <v>0</v>
      </c>
      <c r="H148" s="342">
        <f t="shared" si="35"/>
        <v>0</v>
      </c>
      <c r="I148" s="342">
        <f t="shared" si="34"/>
        <v>15332441.059648028</v>
      </c>
    </row>
    <row r="149" spans="2:10" outlineLevel="1" x14ac:dyDescent="0.2">
      <c r="B149" s="195" t="s">
        <v>359</v>
      </c>
      <c r="C149" s="342">
        <v>0</v>
      </c>
      <c r="D149" s="342">
        <f>+D134</f>
        <v>62500000</v>
      </c>
      <c r="E149" s="342">
        <f>+E134</f>
        <v>70000000</v>
      </c>
      <c r="F149" s="342">
        <f>+G134</f>
        <v>50000000</v>
      </c>
      <c r="G149" s="342">
        <f>+H134</f>
        <v>36574000</v>
      </c>
      <c r="H149" s="342">
        <f>+I134</f>
        <v>65000000</v>
      </c>
      <c r="I149" s="342">
        <f t="shared" si="34"/>
        <v>284074000</v>
      </c>
      <c r="J149" s="365">
        <f>+I149-C140</f>
        <v>0</v>
      </c>
    </row>
    <row r="150" spans="2:10" outlineLevel="1" x14ac:dyDescent="0.2">
      <c r="B150" s="195" t="s">
        <v>354</v>
      </c>
      <c r="C150" s="342">
        <v>0</v>
      </c>
      <c r="D150" s="342">
        <f>-PV(12%,1,0,D134,0)</f>
        <v>55803571.428571425</v>
      </c>
      <c r="E150" s="342">
        <f>-PV(12%,2,0,E134,0)</f>
        <v>55803571.428571418</v>
      </c>
      <c r="F150" s="342">
        <f>-PV(12%,4,0,G134,0)</f>
        <v>31775903.920241557</v>
      </c>
      <c r="G150" s="342">
        <f>-PV(12%,5,0,H134,0)</f>
        <v>20753069.821052048</v>
      </c>
      <c r="H150" s="342">
        <f>-PV(12%,6,0,I134,0)</f>
        <v>32931022.876525845</v>
      </c>
      <c r="I150" s="342">
        <f t="shared" si="34"/>
        <v>197067139.47496229</v>
      </c>
      <c r="J150" s="365">
        <f>+I150-D140</f>
        <v>0</v>
      </c>
    </row>
    <row r="151" spans="2:10" outlineLevel="1" x14ac:dyDescent="0.2">
      <c r="B151" s="195" t="s">
        <v>358</v>
      </c>
      <c r="C151" s="342">
        <f>+I140</f>
        <v>35000000</v>
      </c>
      <c r="D151" s="342">
        <v>0</v>
      </c>
      <c r="E151" s="342">
        <v>0</v>
      </c>
      <c r="F151" s="342">
        <v>0</v>
      </c>
      <c r="G151" s="342">
        <v>0</v>
      </c>
      <c r="H151" s="342">
        <v>0</v>
      </c>
      <c r="I151" s="342">
        <f t="shared" si="34"/>
        <v>35000000</v>
      </c>
      <c r="J151" s="365"/>
    </row>
    <row r="152" spans="2:10" outlineLevel="1" x14ac:dyDescent="0.2">
      <c r="B152" s="195" t="s">
        <v>356</v>
      </c>
      <c r="C152" s="342">
        <f t="shared" ref="C152:H152" si="36">+C149-C146+C151</f>
        <v>8500000</v>
      </c>
      <c r="D152" s="342">
        <f t="shared" si="36"/>
        <v>2500000</v>
      </c>
      <c r="E152" s="342">
        <f t="shared" si="36"/>
        <v>5000000</v>
      </c>
      <c r="F152" s="342">
        <f t="shared" si="36"/>
        <v>17500000</v>
      </c>
      <c r="G152" s="342">
        <f t="shared" si="36"/>
        <v>36574000</v>
      </c>
      <c r="H152" s="342">
        <f t="shared" si="36"/>
        <v>65000000</v>
      </c>
      <c r="I152" s="342">
        <f t="shared" si="34"/>
        <v>135074000</v>
      </c>
    </row>
    <row r="153" spans="2:10" outlineLevel="1" x14ac:dyDescent="0.2">
      <c r="B153" s="195" t="s">
        <v>357</v>
      </c>
      <c r="C153" s="342">
        <f t="shared" ref="C153:H153" si="37">+C150-C147+C151-C148</f>
        <v>8500000.0000000037</v>
      </c>
      <c r="D153" s="342">
        <f>+D150-D147+D151-D148</f>
        <v>1749517.3745173784</v>
      </c>
      <c r="E153" s="342">
        <f t="shared" si="37"/>
        <v>3048113.2677078638</v>
      </c>
      <c r="F153" s="342">
        <f t="shared" si="37"/>
        <v>10367147.260529056</v>
      </c>
      <c r="G153" s="342">
        <f t="shared" si="37"/>
        <v>20753069.821052048</v>
      </c>
      <c r="H153" s="342">
        <f t="shared" si="37"/>
        <v>32931022.876525845</v>
      </c>
      <c r="I153" s="342">
        <f t="shared" si="34"/>
        <v>77348870.600332201</v>
      </c>
    </row>
    <row r="154" spans="2:10" outlineLevel="1" x14ac:dyDescent="0.2"/>
    <row r="155" spans="2:10" outlineLevel="1" x14ac:dyDescent="0.2"/>
    <row r="156" spans="2:10" outlineLevel="1" x14ac:dyDescent="0.2">
      <c r="B156" s="195" t="s">
        <v>401</v>
      </c>
      <c r="C156" s="319"/>
      <c r="I156" s="197">
        <f>+H95</f>
        <v>49448429.42316442</v>
      </c>
    </row>
    <row r="157" spans="2:10" outlineLevel="1" x14ac:dyDescent="0.2">
      <c r="B157" s="195" t="s">
        <v>352</v>
      </c>
      <c r="C157" s="342">
        <f>+C100</f>
        <v>129560000</v>
      </c>
      <c r="I157" s="197">
        <f>+I153-I156</f>
        <v>27900441.177167781</v>
      </c>
    </row>
    <row r="158" spans="2:10" outlineLevel="1" x14ac:dyDescent="0.2">
      <c r="B158" s="195" t="s">
        <v>359</v>
      </c>
      <c r="C158" s="342">
        <f>+C128</f>
        <v>165743000</v>
      </c>
    </row>
    <row r="159" spans="2:10" outlineLevel="1" x14ac:dyDescent="0.2">
      <c r="B159" s="195" t="s">
        <v>407</v>
      </c>
      <c r="C159" s="342">
        <v>186000000</v>
      </c>
    </row>
    <row r="160" spans="2:10" outlineLevel="1" x14ac:dyDescent="0.2">
      <c r="B160" s="195" t="s">
        <v>408</v>
      </c>
      <c r="C160" s="342">
        <v>149817000</v>
      </c>
      <c r="D160" s="197">
        <f>+C159+C157-C158</f>
        <v>149817000</v>
      </c>
      <c r="E160" s="190" t="s">
        <v>2198</v>
      </c>
    </row>
    <row r="161" spans="2:30" x14ac:dyDescent="0.2">
      <c r="B161" s="282" t="s">
        <v>120</v>
      </c>
      <c r="C161" s="368">
        <f>+C159+C157-C158-C160</f>
        <v>0</v>
      </c>
      <c r="D161" s="190" t="s">
        <v>363</v>
      </c>
    </row>
    <row r="165" spans="2:30" s="192" customFormat="1" x14ac:dyDescent="0.2">
      <c r="AC165" s="193"/>
      <c r="AD165" s="193"/>
    </row>
  </sheetData>
  <mergeCells count="18">
    <mergeCell ref="V7:W7"/>
    <mergeCell ref="B31:C31"/>
    <mergeCell ref="V112:W112"/>
    <mergeCell ref="J52:M52"/>
    <mergeCell ref="O52:R52"/>
    <mergeCell ref="V52:W52"/>
    <mergeCell ref="F53:H57"/>
    <mergeCell ref="B74:C74"/>
    <mergeCell ref="D74:H74"/>
    <mergeCell ref="D31:H31"/>
    <mergeCell ref="F8:H12"/>
    <mergeCell ref="J7:M7"/>
    <mergeCell ref="O7:R7"/>
    <mergeCell ref="J112:M112"/>
    <mergeCell ref="F113:H117"/>
    <mergeCell ref="B132:C132"/>
    <mergeCell ref="D132:I132"/>
    <mergeCell ref="O112:R112"/>
  </mergeCells>
  <phoneticPr fontId="6" type="noConversion"/>
  <pageMargins left="0.39370078740157483" right="0.39370078740157483" top="0.39370078740157483" bottom="0.39370078740157483" header="0" footer="0"/>
  <pageSetup scale="9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M71"/>
  <sheetViews>
    <sheetView showGridLines="0" topLeftCell="A62" zoomScale="110" zoomScaleNormal="110" workbookViewId="0">
      <selection activeCell="A7" sqref="A7"/>
    </sheetView>
  </sheetViews>
  <sheetFormatPr baseColWidth="10" defaultRowHeight="14.25" outlineLevelRow="1" x14ac:dyDescent="0.2"/>
  <cols>
    <col min="1" max="1" width="27.140625" style="1" customWidth="1"/>
    <col min="2" max="2" width="16.85546875" style="1" bestFit="1" customWidth="1"/>
    <col min="3" max="3" width="17.7109375" style="1" customWidth="1"/>
    <col min="4" max="4" width="16.85546875" style="1" bestFit="1" customWidth="1"/>
    <col min="5" max="6" width="17.42578125" style="1" bestFit="1" customWidth="1"/>
    <col min="7" max="7" width="18.42578125" style="1" customWidth="1"/>
    <col min="8" max="8" width="19.7109375" style="1" customWidth="1"/>
    <col min="9" max="9" width="17.42578125" style="1" customWidth="1"/>
    <col min="10" max="10" width="18.42578125" style="1" customWidth="1"/>
    <col min="11" max="11" width="20.85546875" style="1" customWidth="1"/>
    <col min="12" max="12" width="18.140625" style="1" customWidth="1"/>
    <col min="13" max="13" width="16.140625" style="1" customWidth="1"/>
    <col min="14" max="16384" width="11.42578125" style="1"/>
  </cols>
  <sheetData>
    <row r="1" spans="1:13" s="8" customFormat="1" ht="20.25" x14ac:dyDescent="0.3">
      <c r="A1" s="10"/>
      <c r="B1" s="9"/>
      <c r="C1" s="10"/>
      <c r="E1" s="10"/>
      <c r="F1" s="10"/>
    </row>
    <row r="3" spans="1:13" ht="15" x14ac:dyDescent="0.25">
      <c r="A3" s="5" t="s">
        <v>113</v>
      </c>
    </row>
    <row r="5" spans="1:13" s="14" customFormat="1" x14ac:dyDescent="0.2">
      <c r="A5" s="191" t="s">
        <v>2156</v>
      </c>
      <c r="C5" s="13"/>
      <c r="D5" s="13"/>
      <c r="E5" s="13"/>
    </row>
    <row r="6" spans="1:13" s="14" customFormat="1" x14ac:dyDescent="0.2">
      <c r="C6" s="13"/>
      <c r="D6" s="13"/>
      <c r="E6" s="13"/>
    </row>
    <row r="8" spans="1:13" ht="15" hidden="1" outlineLevel="1" x14ac:dyDescent="0.25">
      <c r="A8" s="5" t="s">
        <v>1012</v>
      </c>
    </row>
    <row r="9" spans="1:13" ht="30" hidden="1" outlineLevel="1" x14ac:dyDescent="0.25">
      <c r="A9" s="16" t="s">
        <v>50</v>
      </c>
      <c r="B9" s="16" t="s">
        <v>66</v>
      </c>
      <c r="C9" s="16" t="s">
        <v>67</v>
      </c>
      <c r="D9" s="16" t="s">
        <v>51</v>
      </c>
      <c r="E9" s="16" t="s">
        <v>997</v>
      </c>
      <c r="F9" s="16" t="s">
        <v>52</v>
      </c>
    </row>
    <row r="10" spans="1:13" hidden="1" outlineLevel="1" x14ac:dyDescent="0.2">
      <c r="A10" s="2" t="s">
        <v>69</v>
      </c>
      <c r="B10" s="161">
        <f>+E10*1</f>
        <v>12500000</v>
      </c>
      <c r="C10" s="161">
        <f>+B10*0.12</f>
        <v>1500000</v>
      </c>
      <c r="D10" s="161">
        <f>+D19</f>
        <v>42230959</v>
      </c>
      <c r="E10" s="161">
        <v>12500000</v>
      </c>
      <c r="F10" s="7" t="s">
        <v>2183</v>
      </c>
      <c r="H10" s="1" t="s">
        <v>0</v>
      </c>
    </row>
    <row r="11" spans="1:13" ht="15" hidden="1" outlineLevel="1" x14ac:dyDescent="0.25">
      <c r="A11" s="2" t="s">
        <v>68</v>
      </c>
      <c r="B11" s="161">
        <f>+E11*1</f>
        <v>3500000</v>
      </c>
      <c r="C11" s="161">
        <f>+B11*0.12</f>
        <v>420000</v>
      </c>
      <c r="D11" s="161">
        <f>+D20</f>
        <v>9471679</v>
      </c>
      <c r="E11" s="161">
        <v>3500000</v>
      </c>
      <c r="F11" s="7" t="s">
        <v>2183</v>
      </c>
      <c r="H11" s="1" t="s">
        <v>0</v>
      </c>
      <c r="L11" s="5"/>
      <c r="M11" s="5"/>
    </row>
    <row r="12" spans="1:13" ht="15" hidden="1" outlineLevel="1" x14ac:dyDescent="0.25">
      <c r="A12" s="3" t="s">
        <v>4</v>
      </c>
      <c r="B12" s="3">
        <f>SUM(B10:B11)</f>
        <v>16000000</v>
      </c>
      <c r="C12" s="3">
        <f>SUM(C10:C11)</f>
        <v>1920000</v>
      </c>
      <c r="D12" s="4">
        <f>SUM(D10:D11)</f>
        <v>51702638</v>
      </c>
      <c r="E12" s="3"/>
      <c r="F12" s="3"/>
    </row>
    <row r="13" spans="1:13" hidden="1" outlineLevel="1" x14ac:dyDescent="0.2"/>
    <row r="14" spans="1:13" hidden="1" outlineLevel="1" x14ac:dyDescent="0.2"/>
    <row r="15" spans="1:13" hidden="1" outlineLevel="1" x14ac:dyDescent="0.2"/>
    <row r="16" spans="1:13" hidden="1" outlineLevel="1" x14ac:dyDescent="0.2"/>
    <row r="17" spans="1:13" ht="15" hidden="1" outlineLevel="1" x14ac:dyDescent="0.25">
      <c r="A17" s="5" t="s">
        <v>114</v>
      </c>
    </row>
    <row r="18" spans="1:13" ht="30" hidden="1" outlineLevel="1" x14ac:dyDescent="0.25">
      <c r="A18" s="16" t="s">
        <v>50</v>
      </c>
      <c r="B18" s="16" t="s">
        <v>66</v>
      </c>
      <c r="C18" s="16" t="s">
        <v>67</v>
      </c>
      <c r="D18" s="16" t="s">
        <v>51</v>
      </c>
      <c r="E18" s="16" t="str">
        <f>+E9</f>
        <v xml:space="preserve">Salario Promedio </v>
      </c>
      <c r="F18" s="16" t="s">
        <v>52</v>
      </c>
      <c r="G18" s="16" t="s">
        <v>82</v>
      </c>
      <c r="H18" s="16" t="s">
        <v>83</v>
      </c>
      <c r="I18" s="16" t="s">
        <v>116</v>
      </c>
      <c r="J18" s="16" t="s">
        <v>84</v>
      </c>
      <c r="K18" s="16" t="s">
        <v>117</v>
      </c>
      <c r="L18" s="16" t="s">
        <v>118</v>
      </c>
      <c r="M18" s="16" t="s">
        <v>85</v>
      </c>
    </row>
    <row r="19" spans="1:13" hidden="1" outlineLevel="1" x14ac:dyDescent="0.2">
      <c r="A19" s="2" t="str">
        <f t="shared" ref="A19:C20" si="0">+A10</f>
        <v>Esther</v>
      </c>
      <c r="B19" s="161">
        <f t="shared" si="0"/>
        <v>12500000</v>
      </c>
      <c r="C19" s="161">
        <f t="shared" si="0"/>
        <v>1500000</v>
      </c>
      <c r="D19" s="161">
        <f>+M19</f>
        <v>42230959</v>
      </c>
      <c r="E19" s="161">
        <f>+E10</f>
        <v>12500000</v>
      </c>
      <c r="F19" s="7" t="s">
        <v>2183</v>
      </c>
      <c r="G19" s="7">
        <v>41456</v>
      </c>
      <c r="H19" s="7">
        <v>43465</v>
      </c>
      <c r="I19" s="2">
        <f>+DAYS360(G19,H19)</f>
        <v>1980</v>
      </c>
      <c r="J19" s="2">
        <f>+E19*1.038</f>
        <v>12975000</v>
      </c>
      <c r="K19" s="2">
        <f>+I19*0.0493150684931507</f>
        <v>97.64383561643838</v>
      </c>
      <c r="L19" s="2">
        <f>+J19/30</f>
        <v>432500</v>
      </c>
      <c r="M19" s="2">
        <f>+ROUND((L19*K19),0)</f>
        <v>42230959</v>
      </c>
    </row>
    <row r="20" spans="1:13" hidden="1" outlineLevel="1" x14ac:dyDescent="0.2">
      <c r="A20" s="2" t="str">
        <f t="shared" si="0"/>
        <v>Leonardo</v>
      </c>
      <c r="B20" s="161">
        <f t="shared" si="0"/>
        <v>3500000</v>
      </c>
      <c r="C20" s="161">
        <f t="shared" si="0"/>
        <v>420000</v>
      </c>
      <c r="D20" s="161">
        <f>+M20</f>
        <v>9471679</v>
      </c>
      <c r="E20" s="161">
        <f>+E11</f>
        <v>3500000</v>
      </c>
      <c r="F20" s="7" t="s">
        <v>2183</v>
      </c>
      <c r="G20" s="7">
        <v>41856</v>
      </c>
      <c r="H20" s="7">
        <f>+H19</f>
        <v>43465</v>
      </c>
      <c r="I20" s="2">
        <f>+DAYS360(G20,H20)</f>
        <v>1586</v>
      </c>
      <c r="J20" s="2">
        <f>+E20*1.038</f>
        <v>3633000</v>
      </c>
      <c r="K20" s="2">
        <f>+I20*0.0493150684931507</f>
        <v>78.213698630137003</v>
      </c>
      <c r="L20" s="2">
        <f>+J20/30</f>
        <v>121100</v>
      </c>
      <c r="M20" s="2">
        <f>+ROUND((L20*K20),0)</f>
        <v>9471679</v>
      </c>
    </row>
    <row r="21" spans="1:13" ht="15" hidden="1" outlineLevel="1" x14ac:dyDescent="0.25">
      <c r="A21" s="11" t="s">
        <v>4</v>
      </c>
      <c r="B21" s="4">
        <f>SUM(B19:B20)</f>
        <v>16000000</v>
      </c>
      <c r="C21" s="4">
        <f>SUM(C19:C20)</f>
        <v>1920000</v>
      </c>
      <c r="D21" s="4">
        <f>SUM(D19:D20)</f>
        <v>51702638</v>
      </c>
      <c r="E21" s="3"/>
      <c r="F21" s="3"/>
      <c r="K21" s="1" t="s">
        <v>57</v>
      </c>
      <c r="M21" s="5">
        <f>SUM(M19:M20)</f>
        <v>51702638</v>
      </c>
    </row>
    <row r="22" spans="1:13" hidden="1" outlineLevel="1" x14ac:dyDescent="0.2"/>
    <row r="23" spans="1:13" hidden="1" outlineLevel="1" x14ac:dyDescent="0.2">
      <c r="D23" s="1" t="s">
        <v>165</v>
      </c>
    </row>
    <row r="24" spans="1:13" hidden="1" outlineLevel="1" x14ac:dyDescent="0.2"/>
    <row r="25" spans="1:13" hidden="1" outlineLevel="1" x14ac:dyDescent="0.2"/>
    <row r="26" spans="1:13" collapsed="1" x14ac:dyDescent="0.2"/>
    <row r="28" spans="1:13" s="14" customFormat="1" x14ac:dyDescent="0.2">
      <c r="A28" s="191" t="s">
        <v>2157</v>
      </c>
      <c r="C28" s="13"/>
      <c r="D28" s="13"/>
      <c r="E28" s="13"/>
    </row>
    <row r="29" spans="1:13" s="14" customFormat="1" x14ac:dyDescent="0.2">
      <c r="C29" s="13"/>
      <c r="D29" s="13"/>
      <c r="E29" s="13"/>
    </row>
    <row r="31" spans="1:13" ht="15" hidden="1" outlineLevel="1" x14ac:dyDescent="0.25">
      <c r="A31" s="5" t="s">
        <v>1012</v>
      </c>
    </row>
    <row r="32" spans="1:13" ht="30" hidden="1" outlineLevel="1" x14ac:dyDescent="0.25">
      <c r="A32" s="16" t="s">
        <v>50</v>
      </c>
      <c r="B32" s="16" t="s">
        <v>66</v>
      </c>
      <c r="C32" s="16" t="s">
        <v>67</v>
      </c>
      <c r="D32" s="16" t="s">
        <v>51</v>
      </c>
      <c r="E32" s="16" t="s">
        <v>998</v>
      </c>
      <c r="F32" s="16" t="s">
        <v>52</v>
      </c>
    </row>
    <row r="33" spans="1:13" hidden="1" outlineLevel="1" x14ac:dyDescent="0.2">
      <c r="A33" s="2" t="s">
        <v>69</v>
      </c>
      <c r="B33" s="161">
        <f>+E33*1</f>
        <v>13500000</v>
      </c>
      <c r="C33" s="161">
        <f>+B33*0.12</f>
        <v>1620000</v>
      </c>
      <c r="D33" s="161">
        <f>+D42</f>
        <v>45917014</v>
      </c>
      <c r="E33" s="161">
        <v>13500000</v>
      </c>
      <c r="F33" s="7" t="s">
        <v>2183</v>
      </c>
      <c r="H33" s="1" t="s">
        <v>0</v>
      </c>
    </row>
    <row r="34" spans="1:13" ht="15" hidden="1" outlineLevel="1" x14ac:dyDescent="0.25">
      <c r="A34" s="2" t="s">
        <v>68</v>
      </c>
      <c r="B34" s="161">
        <f>+E34*1</f>
        <v>3750000</v>
      </c>
      <c r="C34" s="161">
        <f>+B34*0.12</f>
        <v>450000</v>
      </c>
      <c r="D34" s="161">
        <f>+D43</f>
        <v>10216664</v>
      </c>
      <c r="E34" s="161">
        <v>3750000</v>
      </c>
      <c r="F34" s="7" t="s">
        <v>2183</v>
      </c>
      <c r="H34" s="1" t="s">
        <v>0</v>
      </c>
      <c r="L34" s="5"/>
      <c r="M34" s="5"/>
    </row>
    <row r="35" spans="1:13" ht="15" hidden="1" outlineLevel="1" x14ac:dyDescent="0.25">
      <c r="A35" s="3" t="s">
        <v>4</v>
      </c>
      <c r="B35" s="3">
        <f>SUM(B33:B34)</f>
        <v>17250000</v>
      </c>
      <c r="C35" s="3">
        <f>SUM(C33:C34)</f>
        <v>2070000</v>
      </c>
      <c r="D35" s="4">
        <f>SUM(D33:D34)</f>
        <v>56133678</v>
      </c>
      <c r="E35" s="3"/>
      <c r="F35" s="3"/>
    </row>
    <row r="36" spans="1:13" hidden="1" outlineLevel="1" x14ac:dyDescent="0.2"/>
    <row r="37" spans="1:13" hidden="1" outlineLevel="1" x14ac:dyDescent="0.2"/>
    <row r="38" spans="1:13" hidden="1" outlineLevel="1" x14ac:dyDescent="0.2"/>
    <row r="39" spans="1:13" hidden="1" outlineLevel="1" x14ac:dyDescent="0.2"/>
    <row r="40" spans="1:13" ht="15" hidden="1" outlineLevel="1" x14ac:dyDescent="0.25">
      <c r="A40" s="5" t="s">
        <v>114</v>
      </c>
    </row>
    <row r="41" spans="1:13" ht="30" hidden="1" outlineLevel="1" x14ac:dyDescent="0.25">
      <c r="A41" s="16" t="s">
        <v>50</v>
      </c>
      <c r="B41" s="16" t="s">
        <v>66</v>
      </c>
      <c r="C41" s="16" t="s">
        <v>67</v>
      </c>
      <c r="D41" s="16" t="s">
        <v>51</v>
      </c>
      <c r="E41" s="16" t="str">
        <f>+E32</f>
        <v>Salario Promedio</v>
      </c>
      <c r="F41" s="16" t="s">
        <v>52</v>
      </c>
      <c r="G41" s="16" t="s">
        <v>82</v>
      </c>
      <c r="H41" s="16" t="s">
        <v>83</v>
      </c>
      <c r="I41" s="16" t="s">
        <v>116</v>
      </c>
      <c r="J41" s="16" t="s">
        <v>84</v>
      </c>
      <c r="K41" s="16" t="s">
        <v>117</v>
      </c>
      <c r="L41" s="16" t="s">
        <v>118</v>
      </c>
      <c r="M41" s="16" t="s">
        <v>85</v>
      </c>
    </row>
    <row r="42" spans="1:13" hidden="1" outlineLevel="1" x14ac:dyDescent="0.2">
      <c r="A42" s="2" t="str">
        <f t="shared" ref="A42:C43" si="1">+A33</f>
        <v>Esther</v>
      </c>
      <c r="B42" s="161">
        <f t="shared" si="1"/>
        <v>13500000</v>
      </c>
      <c r="C42" s="161">
        <f t="shared" si="1"/>
        <v>1620000</v>
      </c>
      <c r="D42" s="161">
        <f>+M42</f>
        <v>45917014</v>
      </c>
      <c r="E42" s="161">
        <f>+E33</f>
        <v>13500000</v>
      </c>
      <c r="F42" s="7" t="s">
        <v>2183</v>
      </c>
      <c r="G42" s="7">
        <v>41821</v>
      </c>
      <c r="H42" s="7">
        <v>43830</v>
      </c>
      <c r="I42" s="2">
        <f>+DAYS360(G42,H42)</f>
        <v>1980</v>
      </c>
      <c r="J42" s="2">
        <f>+E42*1.045</f>
        <v>14107499.999999998</v>
      </c>
      <c r="K42" s="2">
        <f>+I42*0.0493150684931507</f>
        <v>97.64383561643838</v>
      </c>
      <c r="L42" s="2">
        <f>+J42/30</f>
        <v>470249.99999999994</v>
      </c>
      <c r="M42" s="2">
        <f>+ROUND((L42*K42),0)</f>
        <v>45917014</v>
      </c>
    </row>
    <row r="43" spans="1:13" hidden="1" outlineLevel="1" x14ac:dyDescent="0.2">
      <c r="A43" s="2" t="str">
        <f t="shared" si="1"/>
        <v>Leonardo</v>
      </c>
      <c r="B43" s="161">
        <f t="shared" si="1"/>
        <v>3750000</v>
      </c>
      <c r="C43" s="161">
        <f t="shared" si="1"/>
        <v>450000</v>
      </c>
      <c r="D43" s="161">
        <f>+M43</f>
        <v>10216664</v>
      </c>
      <c r="E43" s="161">
        <f>+E34</f>
        <v>3750000</v>
      </c>
      <c r="F43" s="7" t="s">
        <v>2183</v>
      </c>
      <c r="G43" s="7">
        <v>42221</v>
      </c>
      <c r="H43" s="7">
        <f>+H42</f>
        <v>43830</v>
      </c>
      <c r="I43" s="2">
        <f>+DAYS360(G43,H43)</f>
        <v>1586</v>
      </c>
      <c r="J43" s="2">
        <f>+E43*1.045</f>
        <v>3918749.9999999995</v>
      </c>
      <c r="K43" s="2">
        <f>+I43*0.0493150684931507</f>
        <v>78.213698630137003</v>
      </c>
      <c r="L43" s="2">
        <f>+J43/30</f>
        <v>130624.99999999999</v>
      </c>
      <c r="M43" s="2">
        <f>+ROUND((L43*K43),0)</f>
        <v>10216664</v>
      </c>
    </row>
    <row r="44" spans="1:13" ht="15" hidden="1" outlineLevel="1" x14ac:dyDescent="0.25">
      <c r="A44" s="11" t="s">
        <v>4</v>
      </c>
      <c r="B44" s="4">
        <f>SUM(B42:B43)</f>
        <v>17250000</v>
      </c>
      <c r="C44" s="4">
        <f>SUM(C42:C43)</f>
        <v>2070000</v>
      </c>
      <c r="D44" s="4">
        <f>SUM(D42:D43)</f>
        <v>56133678</v>
      </c>
      <c r="E44" s="3"/>
      <c r="F44" s="3"/>
      <c r="K44" s="1" t="s">
        <v>57</v>
      </c>
      <c r="M44" s="5">
        <f>SUM(M42:M43)</f>
        <v>56133678</v>
      </c>
    </row>
    <row r="45" spans="1:13" hidden="1" outlineLevel="1" x14ac:dyDescent="0.2"/>
    <row r="46" spans="1:13" hidden="1" outlineLevel="1" x14ac:dyDescent="0.2">
      <c r="D46" s="1" t="s">
        <v>165</v>
      </c>
    </row>
    <row r="47" spans="1:13" hidden="1" outlineLevel="1" x14ac:dyDescent="0.2"/>
    <row r="48" spans="1:13" hidden="1" outlineLevel="1" x14ac:dyDescent="0.2"/>
    <row r="49" spans="1:13" collapsed="1" x14ac:dyDescent="0.2"/>
    <row r="51" spans="1:13" s="14" customFormat="1" x14ac:dyDescent="0.2">
      <c r="A51" s="191" t="s">
        <v>2158</v>
      </c>
      <c r="C51" s="13"/>
      <c r="D51" s="13"/>
      <c r="E51" s="13"/>
    </row>
    <row r="52" spans="1:13" s="14" customFormat="1" x14ac:dyDescent="0.2">
      <c r="C52" s="13"/>
      <c r="D52" s="13"/>
      <c r="E52" s="13"/>
    </row>
    <row r="54" spans="1:13" ht="15" outlineLevel="1" x14ac:dyDescent="0.25">
      <c r="A54" s="5" t="s">
        <v>1012</v>
      </c>
    </row>
    <row r="55" spans="1:13" ht="30" outlineLevel="1" x14ac:dyDescent="0.25">
      <c r="A55" s="16" t="s">
        <v>50</v>
      </c>
      <c r="B55" s="16" t="s">
        <v>66</v>
      </c>
      <c r="C55" s="16" t="s">
        <v>67</v>
      </c>
      <c r="D55" s="16" t="s">
        <v>51</v>
      </c>
      <c r="E55" s="16" t="s">
        <v>998</v>
      </c>
      <c r="F55" s="16" t="s">
        <v>52</v>
      </c>
    </row>
    <row r="56" spans="1:13" outlineLevel="1" x14ac:dyDescent="0.2">
      <c r="A56" s="2" t="s">
        <v>69</v>
      </c>
      <c r="B56" s="2">
        <f>+E56*1</f>
        <v>14230000</v>
      </c>
      <c r="C56" s="2">
        <f>+B56*0.12</f>
        <v>1707600</v>
      </c>
      <c r="D56" s="2">
        <f>+D65</f>
        <v>57199922</v>
      </c>
      <c r="E56" s="2">
        <v>14230000</v>
      </c>
      <c r="F56" s="7" t="s">
        <v>2183</v>
      </c>
      <c r="H56" s="1" t="s">
        <v>0</v>
      </c>
    </row>
    <row r="57" spans="1:13" ht="15" outlineLevel="1" x14ac:dyDescent="0.25">
      <c r="A57" s="2" t="s">
        <v>68</v>
      </c>
      <c r="B57" s="2">
        <f>+E57*1</f>
        <v>3850000</v>
      </c>
      <c r="C57" s="2">
        <f>+B57*0.12</f>
        <v>462000</v>
      </c>
      <c r="D57" s="2">
        <f>+D66</f>
        <v>12869991</v>
      </c>
      <c r="E57" s="2">
        <v>3850000</v>
      </c>
      <c r="F57" s="7" t="s">
        <v>2183</v>
      </c>
      <c r="H57" s="1" t="s">
        <v>0</v>
      </c>
      <c r="L57" s="5"/>
      <c r="M57" s="5"/>
    </row>
    <row r="58" spans="1:13" ht="15" outlineLevel="1" x14ac:dyDescent="0.25">
      <c r="A58" s="3" t="s">
        <v>4</v>
      </c>
      <c r="B58" s="3">
        <f>SUM(B56:B57)</f>
        <v>18080000</v>
      </c>
      <c r="C58" s="3">
        <f>SUM(C56:C57)</f>
        <v>2169600</v>
      </c>
      <c r="D58" s="4">
        <f>SUM(D56:D57)</f>
        <v>70069913</v>
      </c>
      <c r="E58" s="3"/>
      <c r="F58" s="3"/>
    </row>
    <row r="59" spans="1:13" outlineLevel="1" x14ac:dyDescent="0.2"/>
    <row r="60" spans="1:13" outlineLevel="1" x14ac:dyDescent="0.2"/>
    <row r="61" spans="1:13" outlineLevel="1" x14ac:dyDescent="0.2"/>
    <row r="62" spans="1:13" outlineLevel="1" x14ac:dyDescent="0.2"/>
    <row r="63" spans="1:13" ht="15" outlineLevel="1" x14ac:dyDescent="0.25">
      <c r="A63" s="5" t="s">
        <v>114</v>
      </c>
    </row>
    <row r="64" spans="1:13" ht="30" outlineLevel="1" x14ac:dyDescent="0.25">
      <c r="A64" s="16" t="s">
        <v>50</v>
      </c>
      <c r="B64" s="16" t="s">
        <v>66</v>
      </c>
      <c r="C64" s="16" t="s">
        <v>67</v>
      </c>
      <c r="D64" s="16" t="s">
        <v>51</v>
      </c>
      <c r="E64" s="16" t="str">
        <f>+E55</f>
        <v>Salario Promedio</v>
      </c>
      <c r="F64" s="16" t="s">
        <v>52</v>
      </c>
      <c r="G64" s="16" t="s">
        <v>82</v>
      </c>
      <c r="H64" s="16" t="s">
        <v>83</v>
      </c>
      <c r="I64" s="16" t="s">
        <v>116</v>
      </c>
      <c r="J64" s="16" t="s">
        <v>84</v>
      </c>
      <c r="K64" s="16" t="s">
        <v>117</v>
      </c>
      <c r="L64" s="16" t="s">
        <v>118</v>
      </c>
      <c r="M64" s="16" t="s">
        <v>85</v>
      </c>
    </row>
    <row r="65" spans="1:13" outlineLevel="1" x14ac:dyDescent="0.2">
      <c r="A65" s="2" t="str">
        <f t="shared" ref="A65:C66" si="2">+A56</f>
        <v>Esther</v>
      </c>
      <c r="B65" s="2">
        <f t="shared" si="2"/>
        <v>14230000</v>
      </c>
      <c r="C65" s="2">
        <f t="shared" si="2"/>
        <v>1707600</v>
      </c>
      <c r="D65" s="2">
        <f>+M65</f>
        <v>57199922</v>
      </c>
      <c r="E65" s="2">
        <f>+E56</f>
        <v>14230000</v>
      </c>
      <c r="F65" s="7" t="s">
        <v>2183</v>
      </c>
      <c r="G65" s="7">
        <v>41821</v>
      </c>
      <c r="H65" s="7">
        <v>44196</v>
      </c>
      <c r="I65" s="2">
        <f>+DAYS360(G65,H65)</f>
        <v>2340</v>
      </c>
      <c r="J65" s="2">
        <f>+E65*1.045</f>
        <v>14870349.999999998</v>
      </c>
      <c r="K65" s="2">
        <f>+I65*0.0493150684931507</f>
        <v>115.39726027397263</v>
      </c>
      <c r="L65" s="2">
        <f>+J65/30</f>
        <v>495678.33333333326</v>
      </c>
      <c r="M65" s="2">
        <f>+ROUND((L65*K65),0)</f>
        <v>57199922</v>
      </c>
    </row>
    <row r="66" spans="1:13" outlineLevel="1" x14ac:dyDescent="0.2">
      <c r="A66" s="2" t="str">
        <f t="shared" si="2"/>
        <v>Leonardo</v>
      </c>
      <c r="B66" s="2">
        <f t="shared" si="2"/>
        <v>3850000</v>
      </c>
      <c r="C66" s="2">
        <f t="shared" si="2"/>
        <v>462000</v>
      </c>
      <c r="D66" s="2">
        <f>+M66</f>
        <v>12869991</v>
      </c>
      <c r="E66" s="2">
        <f>+E57</f>
        <v>3850000</v>
      </c>
      <c r="F66" s="7" t="s">
        <v>2183</v>
      </c>
      <c r="G66" s="7">
        <v>42221</v>
      </c>
      <c r="H66" s="7">
        <f>+H65</f>
        <v>44196</v>
      </c>
      <c r="I66" s="2">
        <f>+DAYS360(G66,H66)</f>
        <v>1946</v>
      </c>
      <c r="J66" s="2">
        <f>+E66*1.045</f>
        <v>4023249.9999999995</v>
      </c>
      <c r="K66" s="2">
        <f>+I66*0.0493150684931507</f>
        <v>95.967123287671257</v>
      </c>
      <c r="L66" s="2">
        <f>+J66/30</f>
        <v>134108.33333333331</v>
      </c>
      <c r="M66" s="2">
        <f>+ROUND((L66*K66),0)</f>
        <v>12869991</v>
      </c>
    </row>
    <row r="67" spans="1:13" ht="15" outlineLevel="1" x14ac:dyDescent="0.25">
      <c r="A67" s="11" t="s">
        <v>4</v>
      </c>
      <c r="B67" s="4">
        <f>SUM(B65:B66)</f>
        <v>18080000</v>
      </c>
      <c r="C67" s="4">
        <f>SUM(C65:C66)</f>
        <v>2169600</v>
      </c>
      <c r="D67" s="4">
        <f>SUM(D65:D66)</f>
        <v>70069913</v>
      </c>
      <c r="E67" s="3"/>
      <c r="F67" s="3"/>
      <c r="K67" s="1" t="s">
        <v>57</v>
      </c>
      <c r="M67" s="5">
        <f>SUM(M65:M66)</f>
        <v>70069913</v>
      </c>
    </row>
    <row r="68" spans="1:13" outlineLevel="1" x14ac:dyDescent="0.2"/>
    <row r="69" spans="1:13" outlineLevel="1" x14ac:dyDescent="0.2"/>
    <row r="70" spans="1:13" outlineLevel="1" x14ac:dyDescent="0.2"/>
    <row r="71" spans="1:13" outlineLevel="1" x14ac:dyDescent="0.2"/>
  </sheetData>
  <pageMargins left="0.39370078740157483" right="0.39370078740157483" top="0.39370078740157483" bottom="0.39370078740157483" header="0" footer="0"/>
  <pageSetup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W132"/>
  <sheetViews>
    <sheetView showGridLines="0" topLeftCell="A100" zoomScale="140" zoomScaleNormal="140" workbookViewId="0">
      <selection activeCell="D126" sqref="D126"/>
    </sheetView>
  </sheetViews>
  <sheetFormatPr baseColWidth="10" defaultRowHeight="12.75" outlineLevelRow="1" x14ac:dyDescent="0.2"/>
  <cols>
    <col min="1" max="1" width="11.42578125" style="190"/>
    <col min="2" max="2" width="54.42578125" style="190" customWidth="1"/>
    <col min="3" max="5" width="22.7109375" style="190" customWidth="1"/>
    <col min="6" max="8" width="16.85546875" style="190" customWidth="1"/>
    <col min="9" max="9" width="14.140625" style="190" bestFit="1" customWidth="1"/>
    <col min="10" max="10" width="14.85546875" style="190" bestFit="1" customWidth="1"/>
    <col min="11" max="11" width="19.28515625" style="190" bestFit="1" customWidth="1"/>
    <col min="12" max="16384" width="11.42578125" style="190"/>
  </cols>
  <sheetData>
    <row r="1" spans="1:257" s="189" customFormat="1" x14ac:dyDescent="0.2">
      <c r="B1" s="187"/>
      <c r="C1" s="188"/>
      <c r="D1" s="187"/>
      <c r="E1" s="187"/>
    </row>
    <row r="2" spans="1:257" x14ac:dyDescent="0.2">
      <c r="B2" s="15" t="s">
        <v>373</v>
      </c>
      <c r="IW2" s="190" t="s">
        <v>214</v>
      </c>
    </row>
    <row r="3" spans="1:257" x14ac:dyDescent="0.2">
      <c r="B3" s="191" t="s">
        <v>2157</v>
      </c>
      <c r="C3" s="192"/>
      <c r="D3" s="193"/>
      <c r="E3" s="193"/>
      <c r="F3" s="193"/>
      <c r="G3" s="193"/>
      <c r="H3" s="192"/>
    </row>
    <row r="4" spans="1:257" hidden="1" outlineLevel="1" x14ac:dyDescent="0.2">
      <c r="B4" s="192"/>
      <c r="C4" s="192"/>
      <c r="D4" s="193"/>
      <c r="E4" s="193"/>
      <c r="F4" s="193"/>
      <c r="G4" s="193"/>
      <c r="H4" s="192"/>
    </row>
    <row r="5" spans="1:257" hidden="1" outlineLevel="1" x14ac:dyDescent="0.2">
      <c r="B5" s="15"/>
    </row>
    <row r="6" spans="1:257" hidden="1" outlineLevel="1" x14ac:dyDescent="0.2">
      <c r="A6" s="369"/>
      <c r="B6" s="369" t="s">
        <v>36</v>
      </c>
      <c r="C6" s="369" t="s">
        <v>371</v>
      </c>
      <c r="D6" s="369" t="s">
        <v>372</v>
      </c>
      <c r="E6" s="1176"/>
      <c r="IW6" s="190" t="s">
        <v>213</v>
      </c>
    </row>
    <row r="7" spans="1:257" hidden="1" outlineLevel="1" x14ac:dyDescent="0.2">
      <c r="A7" s="195">
        <f>+'BP 311220x2'!A86</f>
        <v>412005</v>
      </c>
      <c r="B7" s="195" t="str">
        <f>+'BP 311220x2'!B86</f>
        <v>Venta de gaseosas</v>
      </c>
      <c r="C7" s="342">
        <f>+'BP 311220x2'!F86</f>
        <v>26536000000</v>
      </c>
      <c r="D7" s="342">
        <f>+C7</f>
        <v>26536000000</v>
      </c>
      <c r="E7" s="570"/>
    </row>
    <row r="8" spans="1:257" hidden="1" outlineLevel="1" x14ac:dyDescent="0.2">
      <c r="A8" s="195">
        <f>+'BP 311220x2'!A87</f>
        <v>410505</v>
      </c>
      <c r="B8" s="195" t="str">
        <f>+'BP 311220x2'!B87</f>
        <v>Venta de ganado y productos agropecuarios</v>
      </c>
      <c r="C8" s="342">
        <f>+'BP 311220x2'!F87</f>
        <v>426000000</v>
      </c>
      <c r="D8" s="342">
        <f t="shared" ref="D8:D50" si="0">+C8</f>
        <v>426000000</v>
      </c>
      <c r="E8" s="570"/>
    </row>
    <row r="9" spans="1:257" hidden="1" outlineLevel="1" x14ac:dyDescent="0.2">
      <c r="A9" s="195">
        <f>+'BP 311220x2'!A88</f>
        <v>410595</v>
      </c>
      <c r="B9" s="195" t="str">
        <f>+'BP 311220x2'!B88</f>
        <v>Variación del valor razonable de activos biológicos</v>
      </c>
      <c r="C9" s="342">
        <f>+'BP 311220x2'!F88</f>
        <v>81294000</v>
      </c>
      <c r="D9" s="342">
        <v>0</v>
      </c>
      <c r="E9" s="570"/>
    </row>
    <row r="10" spans="1:257" hidden="1" outlineLevel="1" x14ac:dyDescent="0.2">
      <c r="A10" s="195">
        <f>+'BP 311220x2'!A89</f>
        <v>413505</v>
      </c>
      <c r="B10" s="195" t="str">
        <f>+'BP 311220x2'!B89</f>
        <v>Servicios de construcción</v>
      </c>
      <c r="C10" s="342">
        <f>+'BP 311220x2'!F89</f>
        <v>415000000</v>
      </c>
      <c r="D10" s="342">
        <f t="shared" si="0"/>
        <v>415000000</v>
      </c>
      <c r="E10" s="570"/>
    </row>
    <row r="11" spans="1:257" hidden="1" outlineLevel="1" x14ac:dyDescent="0.2">
      <c r="A11" s="195">
        <f>+'BP 311220x2'!A90</f>
        <v>417505</v>
      </c>
      <c r="B11" s="195" t="str">
        <f>+'BP 311220x2'!B90</f>
        <v>Devoluciones en ventas</v>
      </c>
      <c r="C11" s="342">
        <f>+'BP 311220x2'!F90</f>
        <v>-125000000</v>
      </c>
      <c r="D11" s="342">
        <f t="shared" si="0"/>
        <v>-125000000</v>
      </c>
      <c r="E11" s="570"/>
    </row>
    <row r="12" spans="1:257" hidden="1" outlineLevel="1" x14ac:dyDescent="0.2">
      <c r="A12" s="195">
        <f>+'BP 311220x2'!A91</f>
        <v>421005</v>
      </c>
      <c r="B12" s="195" t="str">
        <f>+'BP 311220x2'!B91</f>
        <v>Ingresos financieros</v>
      </c>
      <c r="C12" s="342">
        <f>+'BP 311220x2'!F91</f>
        <v>58465000</v>
      </c>
      <c r="D12" s="342">
        <f t="shared" si="0"/>
        <v>58465000</v>
      </c>
      <c r="E12" s="570"/>
    </row>
    <row r="13" spans="1:257" hidden="1" outlineLevel="1" x14ac:dyDescent="0.2">
      <c r="A13" s="195">
        <f>+'BP 311220x2'!A92</f>
        <v>421095</v>
      </c>
      <c r="B13" s="195" t="str">
        <f>+'BP 311220x2'!B92</f>
        <v>Ingresos forward y swap por liquidación</v>
      </c>
      <c r="C13" s="342">
        <f>+'BP 311220x2'!F92</f>
        <v>-25623500</v>
      </c>
      <c r="D13" s="342">
        <f>+C13</f>
        <v>-25623500</v>
      </c>
      <c r="E13" s="570"/>
    </row>
    <row r="14" spans="1:257" hidden="1" outlineLevel="1" x14ac:dyDescent="0.2">
      <c r="A14" s="195">
        <f>+'BP 311220x2'!A93</f>
        <v>431505</v>
      </c>
      <c r="B14" s="195" t="str">
        <f>+'BP 311220x2'!B93</f>
        <v>Resultado por variación del valor razonable de derivados financieros</v>
      </c>
      <c r="C14" s="342">
        <f>+'BP 311220x2'!F93</f>
        <v>73160000</v>
      </c>
      <c r="D14" s="342">
        <v>0</v>
      </c>
      <c r="E14" s="570"/>
    </row>
    <row r="15" spans="1:257" hidden="1" outlineLevel="1" x14ac:dyDescent="0.2">
      <c r="A15" s="195">
        <f>+'BP 311220x2'!A94</f>
        <v>425005</v>
      </c>
      <c r="B15" s="195" t="str">
        <f>+'BP 311220x2'!B94</f>
        <v>Recuperación de deterioro fiscal</v>
      </c>
      <c r="C15" s="342">
        <f>+'BP 311220x2'!F94</f>
        <v>0</v>
      </c>
      <c r="D15" s="342">
        <f t="shared" si="0"/>
        <v>0</v>
      </c>
      <c r="E15" s="570"/>
    </row>
    <row r="16" spans="1:257" hidden="1" outlineLevel="1" x14ac:dyDescent="0.2">
      <c r="A16" s="195">
        <f>+'BP 311220x2'!A95</f>
        <v>425006</v>
      </c>
      <c r="B16" s="195" t="str">
        <f>+'BP 311220x2'!B95</f>
        <v>Recuperación de deterioro ajuste NIIF</v>
      </c>
      <c r="C16" s="342">
        <f>+'BP 311220x2'!F95</f>
        <v>168819462.41999996</v>
      </c>
      <c r="D16" s="342">
        <v>0</v>
      </c>
      <c r="E16" s="570"/>
    </row>
    <row r="17" spans="1:6" hidden="1" outlineLevel="1" x14ac:dyDescent="0.2">
      <c r="A17" s="195">
        <f>+'BP 311220x2'!A96</f>
        <v>421020</v>
      </c>
      <c r="B17" s="195" t="str">
        <f>+'BP 311220x2'!B96</f>
        <v>Diferencia en cambio</v>
      </c>
      <c r="C17" s="342">
        <f>+'BP 311220x2'!F96</f>
        <v>12653000</v>
      </c>
      <c r="D17" s="342">
        <f t="shared" si="0"/>
        <v>12653000</v>
      </c>
      <c r="E17" s="570"/>
    </row>
    <row r="18" spans="1:6" hidden="1" outlineLevel="1" x14ac:dyDescent="0.2">
      <c r="A18" s="195">
        <f>+'BP 311220x2'!A97</f>
        <v>430505</v>
      </c>
      <c r="B18" s="195" t="str">
        <f>+'BP 311220x2'!B97</f>
        <v>Resultado por variación del valor razonable de activos financieros</v>
      </c>
      <c r="C18" s="342">
        <f>+'BP 311220x2'!F97</f>
        <v>363880060</v>
      </c>
      <c r="D18" s="342">
        <v>0</v>
      </c>
      <c r="E18" s="570"/>
    </row>
    <row r="19" spans="1:6" hidden="1" outlineLevel="1" x14ac:dyDescent="0.2">
      <c r="A19" s="195">
        <f>+'BP 311220x2'!A98</f>
        <v>431005</v>
      </c>
      <c r="B19" s="195" t="str">
        <f>+'BP 311220x2'!B98</f>
        <v>Resultado por variación del valor razonable de propiedades de inversión</v>
      </c>
      <c r="C19" s="342">
        <f>+'BP 311220x2'!F98</f>
        <v>295000000</v>
      </c>
      <c r="D19" s="342">
        <v>0</v>
      </c>
      <c r="E19" s="570"/>
    </row>
    <row r="20" spans="1:6" hidden="1" outlineLevel="1" x14ac:dyDescent="0.2">
      <c r="A20" s="195">
        <f>+'BP 311220x2'!A99</f>
        <v>424505</v>
      </c>
      <c r="B20" s="195" t="str">
        <f>+'BP 311220x2'!B99</f>
        <v>Resultado en venta de propiedades</v>
      </c>
      <c r="C20" s="342">
        <f>+'BP 311220x2'!F99</f>
        <v>0</v>
      </c>
      <c r="D20" s="342">
        <v>0</v>
      </c>
      <c r="E20" s="570"/>
    </row>
    <row r="21" spans="1:6" hidden="1" outlineLevel="1" x14ac:dyDescent="0.2">
      <c r="A21" s="195">
        <f>+'BP 311220x2'!A100</f>
        <v>421505</v>
      </c>
      <c r="B21" s="195" t="str">
        <f>+'BP 311220x2'!B100</f>
        <v>Dividendos</v>
      </c>
      <c r="C21" s="342">
        <f>+'BP 311220x2'!F100</f>
        <v>15000000</v>
      </c>
      <c r="D21" s="342">
        <v>0</v>
      </c>
      <c r="E21" s="570"/>
      <c r="F21" s="190" t="s">
        <v>1115</v>
      </c>
    </row>
    <row r="22" spans="1:6" hidden="1" outlineLevel="1" x14ac:dyDescent="0.2">
      <c r="A22" s="195">
        <f>+'BP 311220x2'!A101</f>
        <v>422005</v>
      </c>
      <c r="B22" s="195" t="str">
        <f>+'BP 311220x2'!B101</f>
        <v>Arrendamientos</v>
      </c>
      <c r="C22" s="342">
        <f>+'BP 311220x2'!F101</f>
        <v>58625000</v>
      </c>
      <c r="D22" s="342">
        <f>+C22</f>
        <v>58625000</v>
      </c>
      <c r="E22" s="570"/>
    </row>
    <row r="23" spans="1:6" hidden="1" outlineLevel="1" x14ac:dyDescent="0.2">
      <c r="A23" s="195">
        <f>+'BP 311220x2'!A104</f>
        <v>612005</v>
      </c>
      <c r="B23" s="195" t="str">
        <f>+'BP 311220x2'!B104</f>
        <v>Costo de venta de bienes</v>
      </c>
      <c r="C23" s="342">
        <f>-'BP 311220x2'!F104</f>
        <v>-19309112532</v>
      </c>
      <c r="D23" s="342">
        <f>+C23</f>
        <v>-19309112532</v>
      </c>
      <c r="E23" s="570"/>
    </row>
    <row r="24" spans="1:6" hidden="1" outlineLevel="1" x14ac:dyDescent="0.2">
      <c r="A24" s="195">
        <f>+'BP 311220x2'!A105</f>
        <v>610505</v>
      </c>
      <c r="B24" s="195" t="str">
        <f>+'BP 311220x2'!B105</f>
        <v>Costo productos agropecuarios</v>
      </c>
      <c r="C24" s="342">
        <f>-'BP 311220x2'!F105</f>
        <v>-269000000</v>
      </c>
      <c r="D24" s="342">
        <f t="shared" si="0"/>
        <v>-269000000</v>
      </c>
      <c r="E24" s="570"/>
    </row>
    <row r="25" spans="1:6" hidden="1" outlineLevel="1" x14ac:dyDescent="0.2">
      <c r="A25" s="195">
        <f>+'BP 311220x2'!A106</f>
        <v>612010</v>
      </c>
      <c r="B25" s="195" t="str">
        <f>+'BP 311220x2'!B106</f>
        <v>Costos por garantías</v>
      </c>
      <c r="C25" s="342">
        <f>-'BP 311220x2'!F106</f>
        <v>-165000000</v>
      </c>
      <c r="D25" s="342">
        <f>-Pasivos!C102</f>
        <v>-161440000</v>
      </c>
      <c r="E25" s="570"/>
    </row>
    <row r="26" spans="1:6" hidden="1" outlineLevel="1" x14ac:dyDescent="0.2">
      <c r="A26" s="195">
        <f>+'BP 311220x2'!A107</f>
        <v>619810</v>
      </c>
      <c r="B26" s="195" t="str">
        <f>+'BP 311220x2'!B107</f>
        <v>Descuentos comerciales condicionados</v>
      </c>
      <c r="C26" s="342">
        <f>-'BP 311220x2'!F107</f>
        <v>36520000</v>
      </c>
      <c r="D26" s="342">
        <f t="shared" si="0"/>
        <v>36520000</v>
      </c>
      <c r="E26" s="570"/>
    </row>
    <row r="27" spans="1:6" hidden="1" outlineLevel="1" x14ac:dyDescent="0.2">
      <c r="A27" s="195">
        <f>+'BP 311220x2'!A108</f>
        <v>619905</v>
      </c>
      <c r="B27" s="195" t="str">
        <f>+'BP 311220x2'!B108</f>
        <v>Deterioro de inventarios</v>
      </c>
      <c r="C27" s="342">
        <f>-'BP 311220x2'!F108</f>
        <v>-10550000</v>
      </c>
      <c r="D27" s="342">
        <v>0</v>
      </c>
      <c r="E27" s="570"/>
      <c r="F27" s="190" t="s">
        <v>374</v>
      </c>
    </row>
    <row r="28" spans="1:6" hidden="1" outlineLevel="1" x14ac:dyDescent="0.2">
      <c r="A28" s="195">
        <f>+'BP 311220x2'!A109</f>
        <v>511505</v>
      </c>
      <c r="B28" s="195" t="str">
        <f>+'BP 311220x2'!B109</f>
        <v>Impuesto industria y comercio</v>
      </c>
      <c r="C28" s="342">
        <f>-'BP 311220x2'!F109</f>
        <v>-263254320</v>
      </c>
      <c r="D28" s="342">
        <f t="shared" si="0"/>
        <v>-263254320</v>
      </c>
      <c r="E28" s="570"/>
    </row>
    <row r="29" spans="1:6" hidden="1" outlineLevel="1" x14ac:dyDescent="0.2">
      <c r="A29" s="195">
        <f>+'BP 311220x2'!A110</f>
        <v>510505</v>
      </c>
      <c r="B29" s="195" t="str">
        <f>+'BP 311220x2'!B110</f>
        <v>Gastos de personal</v>
      </c>
      <c r="C29" s="342">
        <f>-'BP 311220x2'!F110</f>
        <v>-299703678</v>
      </c>
      <c r="D29" s="342">
        <f t="shared" si="0"/>
        <v>-299703678</v>
      </c>
      <c r="E29" s="570"/>
    </row>
    <row r="30" spans="1:6" hidden="1" outlineLevel="1" x14ac:dyDescent="0.2">
      <c r="A30" s="195">
        <f>+'BP 311220x2'!A111</f>
        <v>511595</v>
      </c>
      <c r="B30" s="195" t="str">
        <f>+'BP 311220x2'!B111</f>
        <v>GMF</v>
      </c>
      <c r="C30" s="342">
        <f>-'BP 311220x2'!F111</f>
        <v>-116000000</v>
      </c>
      <c r="D30" s="342">
        <f>+C30*50%</f>
        <v>-58000000</v>
      </c>
      <c r="E30" s="570"/>
      <c r="F30" s="378">
        <v>0.5</v>
      </c>
    </row>
    <row r="31" spans="1:6" hidden="1" outlineLevel="1" x14ac:dyDescent="0.2">
      <c r="A31" s="195">
        <f>+'BP 311220x2'!A112</f>
        <v>511515</v>
      </c>
      <c r="B31" s="195" t="str">
        <f>+'BP 311220x2'!B112</f>
        <v>Impuesto predial</v>
      </c>
      <c r="C31" s="342">
        <f>-'BP 311220x2'!F112</f>
        <v>-65000000</v>
      </c>
      <c r="D31" s="342">
        <f t="shared" si="0"/>
        <v>-65000000</v>
      </c>
      <c r="E31" s="570"/>
    </row>
    <row r="32" spans="1:6" hidden="1" outlineLevel="1" x14ac:dyDescent="0.2">
      <c r="A32" s="195">
        <f>+'BP 311220x2'!A113</f>
        <v>511590</v>
      </c>
      <c r="B32" s="195" t="str">
        <f>+'BP 311220x2'!B113</f>
        <v>Impuesto a la riqueza</v>
      </c>
      <c r="C32" s="342">
        <f>-'BP 311220x2'!F113</f>
        <v>-12350000</v>
      </c>
      <c r="D32" s="342">
        <v>0</v>
      </c>
      <c r="E32" s="570"/>
    </row>
    <row r="33" spans="1:6" hidden="1" outlineLevel="1" x14ac:dyDescent="0.2">
      <c r="A33" s="195">
        <f>+'BP 311220x2'!A114</f>
        <v>511005</v>
      </c>
      <c r="B33" s="195" t="str">
        <f>+'BP 311220x2'!B114</f>
        <v>Gastos por honorarios</v>
      </c>
      <c r="C33" s="342">
        <f>-'BP 311220x2'!F114</f>
        <v>-125000000</v>
      </c>
      <c r="D33" s="342">
        <f t="shared" si="0"/>
        <v>-125000000</v>
      </c>
      <c r="E33" s="570"/>
    </row>
    <row r="34" spans="1:6" hidden="1" outlineLevel="1" x14ac:dyDescent="0.2">
      <c r="A34" s="195">
        <f>+'BP 311220x2'!A115</f>
        <v>512005</v>
      </c>
      <c r="B34" s="195" t="str">
        <f>+'BP 311220x2'!B115</f>
        <v xml:space="preserve">Gasto por arrendamientos </v>
      </c>
      <c r="C34" s="342">
        <f>-'BP 311220x2'!F115</f>
        <v>-127560000</v>
      </c>
      <c r="D34" s="342">
        <f t="shared" si="0"/>
        <v>-127560000</v>
      </c>
      <c r="E34" s="570"/>
    </row>
    <row r="35" spans="1:6" hidden="1" outlineLevel="1" x14ac:dyDescent="0.2">
      <c r="A35" s="195">
        <f>+'BP 311220x2'!A116</f>
        <v>513505</v>
      </c>
      <c r="B35" s="195" t="str">
        <f>+'BP 311220x2'!B116</f>
        <v>Gastos por servicios</v>
      </c>
      <c r="C35" s="342">
        <f>-'BP 311220x2'!F116</f>
        <v>-652000000</v>
      </c>
      <c r="D35" s="342">
        <f t="shared" si="0"/>
        <v>-652000000</v>
      </c>
      <c r="E35" s="570"/>
    </row>
    <row r="36" spans="1:6" hidden="1" outlineLevel="1" x14ac:dyDescent="0.2">
      <c r="A36" s="195">
        <f>+'BP 311220x2'!A117</f>
        <v>514005</v>
      </c>
      <c r="B36" s="195" t="str">
        <f>+'BP 311220x2'!B117</f>
        <v>Gastos legales</v>
      </c>
      <c r="C36" s="342">
        <f>-'BP 311220x2'!F117</f>
        <v>-32152000</v>
      </c>
      <c r="D36" s="342">
        <f t="shared" si="0"/>
        <v>-32152000</v>
      </c>
      <c r="E36" s="570"/>
    </row>
    <row r="37" spans="1:6" hidden="1" outlineLevel="1" x14ac:dyDescent="0.2">
      <c r="A37" s="195">
        <f>+'BP 311220x2'!A118</f>
        <v>516005</v>
      </c>
      <c r="B37" s="195" t="str">
        <f>+'BP 311220x2'!B118</f>
        <v>Gastos por depreciaciones</v>
      </c>
      <c r="C37" s="342">
        <f>-'BP 311220x2'!F118</f>
        <v>-43505095</v>
      </c>
      <c r="D37" s="342">
        <f t="shared" si="0"/>
        <v>-43505095</v>
      </c>
      <c r="E37" s="570"/>
    </row>
    <row r="38" spans="1:6" hidden="1" outlineLevel="1" x14ac:dyDescent="0.2">
      <c r="A38" s="195">
        <f>+'BP 311220x2'!A119</f>
        <v>516098</v>
      </c>
      <c r="B38" s="195" t="str">
        <f>+'BP 311220x2'!B119</f>
        <v>Gastos por depreciaciones ajuste NIIF</v>
      </c>
      <c r="C38" s="342">
        <f>-'BP 311220x2'!F119</f>
        <v>-6190476</v>
      </c>
      <c r="D38" s="342">
        <v>0</v>
      </c>
      <c r="E38" s="570"/>
    </row>
    <row r="39" spans="1:6" hidden="1" outlineLevel="1" x14ac:dyDescent="0.2">
      <c r="A39" s="195">
        <f>+'BP 311220x2'!A120</f>
        <v>514505</v>
      </c>
      <c r="B39" s="195" t="str">
        <f>+'BP 311220x2'!B120</f>
        <v>Mantenimientos</v>
      </c>
      <c r="C39" s="342">
        <f>-'BP 311220x2'!F120</f>
        <v>-145000000</v>
      </c>
      <c r="D39" s="342">
        <f t="shared" si="0"/>
        <v>-145000000</v>
      </c>
      <c r="E39" s="570"/>
    </row>
    <row r="40" spans="1:6" hidden="1" outlineLevel="1" x14ac:dyDescent="0.2">
      <c r="A40" s="195">
        <f>+'BP 311220x2'!A121</f>
        <v>513005</v>
      </c>
      <c r="B40" s="195" t="str">
        <f>+'BP 311220x2'!B121</f>
        <v>Pólizas y seguros</v>
      </c>
      <c r="C40" s="342">
        <f>-'BP 311220x2'!F121</f>
        <v>-42020000</v>
      </c>
      <c r="D40" s="342">
        <f t="shared" si="0"/>
        <v>-42020000</v>
      </c>
      <c r="E40" s="570"/>
    </row>
    <row r="41" spans="1:6" hidden="1" outlineLevel="1" x14ac:dyDescent="0.2">
      <c r="A41" s="195">
        <f>+'BP 311220x2'!A122</f>
        <v>515505</v>
      </c>
      <c r="B41" s="195" t="str">
        <f>+'BP 311220x2'!B122</f>
        <v>Gastos de viajes</v>
      </c>
      <c r="C41" s="342">
        <f>-'BP 311220x2'!F122</f>
        <v>-75026000</v>
      </c>
      <c r="D41" s="342">
        <f t="shared" si="0"/>
        <v>-75026000</v>
      </c>
      <c r="E41" s="570"/>
    </row>
    <row r="42" spans="1:6" hidden="1" outlineLevel="1" x14ac:dyDescent="0.2">
      <c r="A42" s="195">
        <f>+'BP 311220x2'!A123</f>
        <v>519510</v>
      </c>
      <c r="B42" s="195" t="str">
        <f>+'BP 311220x2'!B123</f>
        <v>Gastos por suscripciones</v>
      </c>
      <c r="C42" s="342">
        <f>-'BP 311220x2'!F123</f>
        <v>-26046000</v>
      </c>
      <c r="D42" s="342">
        <f t="shared" si="0"/>
        <v>-26046000</v>
      </c>
      <c r="E42" s="570"/>
    </row>
    <row r="43" spans="1:6" hidden="1" outlineLevel="1" x14ac:dyDescent="0.2">
      <c r="A43" s="195">
        <f>+'BP 311220x2'!A125</f>
        <v>519530</v>
      </c>
      <c r="B43" s="195" t="str">
        <f>+'BP 311220x2'!B125</f>
        <v>Gastos por papelería</v>
      </c>
      <c r="C43" s="342">
        <f>-'BP 311220x2'!F125</f>
        <v>-65321000</v>
      </c>
      <c r="D43" s="342">
        <f>+C43+6000000</f>
        <v>-59321000</v>
      </c>
      <c r="E43" s="570"/>
      <c r="F43" s="190" t="s">
        <v>375</v>
      </c>
    </row>
    <row r="44" spans="1:6" hidden="1" outlineLevel="1" x14ac:dyDescent="0.2">
      <c r="A44" s="195">
        <f>+'BP 311220x2'!A126</f>
        <v>519585</v>
      </c>
      <c r="B44" s="195" t="str">
        <f>+'BP 311220x2'!B126</f>
        <v>Gastos de combustibles y otros</v>
      </c>
      <c r="C44" s="342">
        <f>-'BP 311220x2'!F126</f>
        <v>-45826000</v>
      </c>
      <c r="D44" s="342">
        <f t="shared" si="0"/>
        <v>-45826000</v>
      </c>
      <c r="E44" s="570"/>
    </row>
    <row r="45" spans="1:6" hidden="1" outlineLevel="1" x14ac:dyDescent="0.2">
      <c r="A45" s="195">
        <f>+'BP 311220x2'!A127</f>
        <v>539505</v>
      </c>
      <c r="B45" s="195" t="str">
        <f>+'BP 311220x2'!B127</f>
        <v>Gastos por demandas</v>
      </c>
      <c r="C45" s="342">
        <f>-'BP 311220x2'!F127</f>
        <v>-49448430</v>
      </c>
      <c r="D45" s="342">
        <v>0</v>
      </c>
      <c r="E45" s="570"/>
    </row>
    <row r="46" spans="1:6" hidden="1" outlineLevel="1" x14ac:dyDescent="0.2">
      <c r="A46" s="195">
        <f>+'BP 311220x2'!A128</f>
        <v>516510</v>
      </c>
      <c r="B46" s="195" t="str">
        <f>+'BP 311220x2'!B128</f>
        <v>Amortización intangibles</v>
      </c>
      <c r="C46" s="342">
        <f>-'BP 311220x2'!F128</f>
        <v>-13000000</v>
      </c>
      <c r="D46" s="342">
        <f t="shared" si="0"/>
        <v>-13000000</v>
      </c>
      <c r="E46" s="570"/>
    </row>
    <row r="47" spans="1:6" hidden="1" outlineLevel="1" x14ac:dyDescent="0.2">
      <c r="A47" s="195">
        <f>+'BP 311220x2'!A129</f>
        <v>519905</v>
      </c>
      <c r="B47" s="195" t="str">
        <f>+'BP 311220x2'!B129</f>
        <v>Deterioro de cuentas por cobrar fiscal</v>
      </c>
      <c r="C47" s="342">
        <f>-'BP 311220x2'!F129</f>
        <v>-157822676.41999996</v>
      </c>
      <c r="D47" s="342">
        <f t="shared" si="0"/>
        <v>-157822676.41999996</v>
      </c>
      <c r="E47" s="570"/>
    </row>
    <row r="48" spans="1:6" hidden="1" outlineLevel="1" x14ac:dyDescent="0.2">
      <c r="A48" s="195">
        <f>+'BP 311220x2'!A130</f>
        <v>519906</v>
      </c>
      <c r="B48" s="195" t="str">
        <f>+'BP 311220x2'!B130</f>
        <v>Deterioro de cuentas por cobrar ajuste NIIF</v>
      </c>
      <c r="C48" s="342">
        <f>-'BP 311220x2'!F130</f>
        <v>0</v>
      </c>
      <c r="D48" s="342">
        <v>0</v>
      </c>
      <c r="E48" s="570"/>
    </row>
    <row r="49" spans="1:6" hidden="1" outlineLevel="1" x14ac:dyDescent="0.2">
      <c r="A49" s="195">
        <f>+'BP 311220x2'!A131</f>
        <v>530505</v>
      </c>
      <c r="B49" s="195" t="str">
        <f>+'BP 311220x2'!B131</f>
        <v>Gastos bancarios y comisiones</v>
      </c>
      <c r="C49" s="342">
        <f>-'BP 311220x2'!F131</f>
        <v>-12526000</v>
      </c>
      <c r="D49" s="342">
        <f t="shared" si="0"/>
        <v>-12526000</v>
      </c>
      <c r="E49" s="570"/>
    </row>
    <row r="50" spans="1:6" hidden="1" outlineLevel="1" x14ac:dyDescent="0.2">
      <c r="A50" s="195">
        <f>+'BP 311220x2'!A132</f>
        <v>530520</v>
      </c>
      <c r="B50" s="195" t="str">
        <f>+'BP 311220x2'!B132</f>
        <v>Gastos financieros</v>
      </c>
      <c r="C50" s="342">
        <f>-'BP 311220x2'!F132</f>
        <v>-316532820</v>
      </c>
      <c r="D50" s="342">
        <f t="shared" si="0"/>
        <v>-316532820</v>
      </c>
      <c r="E50" s="570"/>
    </row>
    <row r="51" spans="1:6" hidden="1" outlineLevel="1" x14ac:dyDescent="0.2">
      <c r="A51" s="195">
        <f>+'BP 311220x2'!A133</f>
        <v>530521</v>
      </c>
      <c r="B51" s="195" t="str">
        <f>+'BP 311220x2'!B133</f>
        <v>Intereses- actualización de provisiones</v>
      </c>
      <c r="C51" s="342">
        <f>-'BP 311220x2'!F133</f>
        <v>-14858661</v>
      </c>
      <c r="D51" s="342">
        <v>0</v>
      </c>
      <c r="E51" s="570"/>
    </row>
    <row r="52" spans="1:6" hidden="1" outlineLevel="1" x14ac:dyDescent="0.2">
      <c r="A52" s="195">
        <f>+'BP 311220x2'!A134</f>
        <v>530522</v>
      </c>
      <c r="B52" s="195" t="str">
        <f>+'BP 311220x2'!B134</f>
        <v>Gastos financieros - costos de transacción</v>
      </c>
      <c r="C52" s="342">
        <f>-'BP 311220x2'!F134</f>
        <v>-24373550</v>
      </c>
      <c r="D52" s="342">
        <v>0</v>
      </c>
      <c r="E52" s="570"/>
    </row>
    <row r="53" spans="1:6" hidden="1" outlineLevel="1" x14ac:dyDescent="0.2">
      <c r="A53" s="319"/>
      <c r="B53" s="319" t="s">
        <v>1113</v>
      </c>
      <c r="C53" s="360">
        <f>SUM(C7:C52)</f>
        <v>5905613783.9999981</v>
      </c>
      <c r="D53" s="360">
        <f>SUM(D7:D52)</f>
        <v>5093791378.5799999</v>
      </c>
      <c r="E53" s="573"/>
    </row>
    <row r="54" spans="1:6" hidden="1" outlineLevel="1" x14ac:dyDescent="0.2">
      <c r="A54" s="15"/>
      <c r="B54" s="15"/>
      <c r="C54" s="376">
        <f>+'BP 311220x2'!F85-SUM('BP 311220x2'!F104:F134)-C53</f>
        <v>0</v>
      </c>
      <c r="D54" s="338"/>
      <c r="E54" s="338"/>
    </row>
    <row r="55" spans="1:6" hidden="1" outlineLevel="1" x14ac:dyDescent="0.2">
      <c r="A55" s="15"/>
      <c r="B55" s="195" t="s">
        <v>377</v>
      </c>
      <c r="C55" s="377"/>
      <c r="D55" s="342">
        <f>+'Imp diferidos'!D69</f>
        <v>325126000</v>
      </c>
      <c r="E55" s="570"/>
      <c r="F55" s="240"/>
    </row>
    <row r="56" spans="1:6" hidden="1" outlineLevel="1" x14ac:dyDescent="0.2">
      <c r="A56" s="15"/>
      <c r="B56" s="195" t="s">
        <v>378</v>
      </c>
      <c r="C56" s="377"/>
      <c r="D56" s="342">
        <f>+'Imp diferidos'!D70</f>
        <v>116000000</v>
      </c>
      <c r="E56" s="570"/>
    </row>
    <row r="57" spans="1:6" hidden="1" outlineLevel="1" x14ac:dyDescent="0.2">
      <c r="A57" s="15"/>
      <c r="C57" s="338"/>
      <c r="D57" s="359"/>
      <c r="E57" s="359"/>
    </row>
    <row r="58" spans="1:6" hidden="1" outlineLevel="1" x14ac:dyDescent="0.2">
      <c r="A58" s="15"/>
      <c r="B58" s="319" t="s">
        <v>379</v>
      </c>
      <c r="C58" s="377"/>
      <c r="D58" s="360">
        <f>+D53+D55+D56</f>
        <v>5534917378.5799999</v>
      </c>
      <c r="E58" s="573"/>
    </row>
    <row r="59" spans="1:6" hidden="1" outlineLevel="1" x14ac:dyDescent="0.2">
      <c r="D59" s="359"/>
      <c r="E59" s="359"/>
    </row>
    <row r="60" spans="1:6" hidden="1" outlineLevel="1" x14ac:dyDescent="0.2">
      <c r="B60" s="319" t="s">
        <v>380</v>
      </c>
      <c r="C60" s="319"/>
      <c r="D60" s="360">
        <f>ROUND((D58*0.33),-3)</f>
        <v>1826523000</v>
      </c>
      <c r="E60" s="573"/>
    </row>
    <row r="61" spans="1:6" hidden="1" outlineLevel="1" x14ac:dyDescent="0.2">
      <c r="D61" s="359"/>
      <c r="E61" s="359"/>
    </row>
    <row r="62" spans="1:6" hidden="1" outlineLevel="1" x14ac:dyDescent="0.2">
      <c r="B62" s="195" t="s">
        <v>381</v>
      </c>
      <c r="C62" s="195"/>
      <c r="D62" s="342">
        <v>350000000</v>
      </c>
      <c r="E62" s="570"/>
    </row>
    <row r="63" spans="1:6" hidden="1" outlineLevel="1" x14ac:dyDescent="0.2"/>
    <row r="64" spans="1:6" collapsed="1" x14ac:dyDescent="0.2"/>
    <row r="68" spans="1:257" x14ac:dyDescent="0.2">
      <c r="B68" s="191" t="s">
        <v>2158</v>
      </c>
      <c r="C68" s="192"/>
      <c r="D68" s="193"/>
      <c r="E68" s="193"/>
      <c r="F68" s="193"/>
      <c r="G68" s="193"/>
      <c r="H68" s="192"/>
    </row>
    <row r="69" spans="1:257" outlineLevel="1" x14ac:dyDescent="0.2">
      <c r="B69" s="192"/>
      <c r="C69" s="192"/>
      <c r="D69" s="193"/>
      <c r="E69" s="193"/>
      <c r="F69" s="193"/>
      <c r="G69" s="193"/>
      <c r="H69" s="192"/>
    </row>
    <row r="70" spans="1:257" outlineLevel="1" x14ac:dyDescent="0.2">
      <c r="B70" s="15"/>
    </row>
    <row r="71" spans="1:257" outlineLevel="1" x14ac:dyDescent="0.2">
      <c r="A71" s="369"/>
      <c r="B71" s="369" t="s">
        <v>36</v>
      </c>
      <c r="C71" s="369" t="s">
        <v>371</v>
      </c>
      <c r="D71" s="1177" t="s">
        <v>372</v>
      </c>
      <c r="E71" s="369" t="s">
        <v>2199</v>
      </c>
      <c r="IW71" s="190" t="s">
        <v>213</v>
      </c>
    </row>
    <row r="72" spans="1:257" outlineLevel="1" x14ac:dyDescent="0.2">
      <c r="A72" s="195">
        <f>+'BP 311220x3'!A86</f>
        <v>412005</v>
      </c>
      <c r="B72" s="195" t="str">
        <f>+'BP 311220x3'!B86</f>
        <v>Venta de gaseosas</v>
      </c>
      <c r="C72" s="342">
        <f>+'BP 311220x3'!F86</f>
        <v>28976000000</v>
      </c>
      <c r="D72" s="1178">
        <f>+VLOOKUP((A72),'Sumaria renta 20x3'!A:E,5,0)</f>
        <v>28976000000</v>
      </c>
      <c r="E72" s="342">
        <f>+C72-D72</f>
        <v>0</v>
      </c>
    </row>
    <row r="73" spans="1:257" outlineLevel="1" x14ac:dyDescent="0.2">
      <c r="A73" s="195">
        <f>+'BP 311220x3'!A87</f>
        <v>410505</v>
      </c>
      <c r="B73" s="195" t="str">
        <f>+'BP 311220x3'!B87</f>
        <v>Venta de ganado y productos agropecuarios</v>
      </c>
      <c r="C73" s="342">
        <f>+'BP 311220x3'!F87</f>
        <v>516000000</v>
      </c>
      <c r="D73" s="1178">
        <f>+VLOOKUP((A73),'Sumaria renta 20x3'!A:E,5,0)</f>
        <v>516000000</v>
      </c>
      <c r="E73" s="342">
        <f t="shared" ref="E73:E122" si="1">+C73-D73</f>
        <v>0</v>
      </c>
    </row>
    <row r="74" spans="1:257" outlineLevel="1" x14ac:dyDescent="0.2">
      <c r="A74" s="195">
        <f>+'BP 311220x3'!A88</f>
        <v>410595</v>
      </c>
      <c r="B74" s="195" t="str">
        <f>+'BP 311220x3'!B88</f>
        <v>Variación del valor razonable de activos biológicos</v>
      </c>
      <c r="C74" s="342">
        <f>+'BP 311220x3'!F88</f>
        <v>134067000</v>
      </c>
      <c r="D74" s="1178">
        <f>+VLOOKUP((A74),'Sumaria renta 20x3'!A:E,5,0)</f>
        <v>134067000</v>
      </c>
      <c r="E74" s="342">
        <f t="shared" si="1"/>
        <v>0</v>
      </c>
    </row>
    <row r="75" spans="1:257" outlineLevel="1" x14ac:dyDescent="0.2">
      <c r="A75" s="195">
        <f>+'BP 311220x3'!A89</f>
        <v>413505</v>
      </c>
      <c r="B75" s="195" t="str">
        <f>+'BP 311220x3'!B89</f>
        <v>Servicios de construcción</v>
      </c>
      <c r="C75" s="342">
        <f>+'BP 311220x3'!F89</f>
        <v>615000000</v>
      </c>
      <c r="D75" s="1178">
        <f>+VLOOKUP((A75),'Sumaria renta 20x3'!A:E,5,0)</f>
        <v>615000000</v>
      </c>
      <c r="E75" s="342">
        <f t="shared" si="1"/>
        <v>0</v>
      </c>
    </row>
    <row r="76" spans="1:257" outlineLevel="1" x14ac:dyDescent="0.2">
      <c r="A76" s="195">
        <f>+'BP 311220x3'!A90</f>
        <v>417505</v>
      </c>
      <c r="B76" s="195" t="str">
        <f>+'BP 311220x3'!B90</f>
        <v>Devoluciones en ventas</v>
      </c>
      <c r="C76" s="342">
        <f>+'BP 311220x3'!F90</f>
        <v>-145678000</v>
      </c>
      <c r="D76" s="1178">
        <f>+VLOOKUP((A76),'Sumaria renta 20x3'!A:E,5,0)</f>
        <v>-145678000</v>
      </c>
      <c r="E76" s="342">
        <f t="shared" si="1"/>
        <v>0</v>
      </c>
    </row>
    <row r="77" spans="1:257" outlineLevel="1" x14ac:dyDescent="0.2">
      <c r="A77" s="195">
        <f>+'BP 311220x3'!A91</f>
        <v>421005</v>
      </c>
      <c r="B77" s="195" t="str">
        <f>+'BP 311220x3'!B91</f>
        <v>Ingresos financieros</v>
      </c>
      <c r="C77" s="342">
        <f>+'BP 311220x3'!F91</f>
        <v>55985000</v>
      </c>
      <c r="D77" s="1178">
        <f>+VLOOKUP((A77),'Sumaria renta 20x3'!A:E,5,0)</f>
        <v>55985000</v>
      </c>
      <c r="E77" s="342">
        <f t="shared" si="1"/>
        <v>0</v>
      </c>
    </row>
    <row r="78" spans="1:257" outlineLevel="1" x14ac:dyDescent="0.2">
      <c r="A78" s="195">
        <f>+'BP 311220x3'!A92</f>
        <v>421095</v>
      </c>
      <c r="B78" s="195" t="str">
        <f>+'BP 311220x3'!B92</f>
        <v>Ingresos forward y swap por liquidación</v>
      </c>
      <c r="C78" s="342">
        <f>+'BP 311220x3'!F92</f>
        <v>125326540</v>
      </c>
      <c r="D78" s="1178">
        <f>+VLOOKUP((A78),'Sumaria renta 20x3'!A:E,5,0)</f>
        <v>125326540</v>
      </c>
      <c r="E78" s="342">
        <f t="shared" si="1"/>
        <v>0</v>
      </c>
    </row>
    <row r="79" spans="1:257" outlineLevel="1" x14ac:dyDescent="0.2">
      <c r="A79" s="195">
        <f>+'BP 311220x3'!A93</f>
        <v>431505</v>
      </c>
      <c r="B79" s="195" t="str">
        <f>+'BP 311220x3'!B93</f>
        <v>Resultado por variación del valor razonable de derivados financieros</v>
      </c>
      <c r="C79" s="342">
        <f>+'BP 311220x3'!F93</f>
        <v>-153172776</v>
      </c>
      <c r="D79" s="1178">
        <f>+VLOOKUP((A79),'Sumaria renta 20x3'!A:E,5,0)</f>
        <v>-153172776</v>
      </c>
      <c r="E79" s="342">
        <f t="shared" si="1"/>
        <v>0</v>
      </c>
    </row>
    <row r="80" spans="1:257" outlineLevel="1" x14ac:dyDescent="0.2">
      <c r="A80" s="195">
        <f>+'BP 311220x3'!A94</f>
        <v>425005</v>
      </c>
      <c r="B80" s="195" t="str">
        <f>+'BP 311220x3'!B94</f>
        <v>Recuperación de deterioro fiscal</v>
      </c>
      <c r="C80" s="342">
        <f>+'BP 311220x3'!F94</f>
        <v>456833344.63999999</v>
      </c>
      <c r="D80" s="1178">
        <f>+VLOOKUP((A80),'Sumaria renta 20x3'!A:E,5,0)</f>
        <v>456833344.63999999</v>
      </c>
      <c r="E80" s="342">
        <f t="shared" si="1"/>
        <v>0</v>
      </c>
    </row>
    <row r="81" spans="1:5" outlineLevel="1" x14ac:dyDescent="0.2">
      <c r="A81" s="195">
        <f>+'BP 311220x3'!A95</f>
        <v>425006</v>
      </c>
      <c r="B81" s="195" t="str">
        <f>+'BP 311220x3'!B95</f>
        <v>Recuperación de deterioro ajuste NIIF</v>
      </c>
      <c r="C81" s="342">
        <f>+'BP 311220x3'!F95</f>
        <v>-450459303.63999999</v>
      </c>
      <c r="D81" s="1178">
        <f>+VLOOKUP((A81),'Sumaria renta 20x3'!A:E,5,0)</f>
        <v>-450459303.63999999</v>
      </c>
      <c r="E81" s="342">
        <f t="shared" si="1"/>
        <v>0</v>
      </c>
    </row>
    <row r="82" spans="1:5" outlineLevel="1" x14ac:dyDescent="0.2">
      <c r="A82" s="195">
        <f>+'BP 311220x3'!A96</f>
        <v>421020</v>
      </c>
      <c r="B82" s="195" t="str">
        <f>+'BP 311220x3'!B96</f>
        <v>Diferencia en cambio</v>
      </c>
      <c r="C82" s="342">
        <f>+'BP 311220x3'!F96</f>
        <v>11634000</v>
      </c>
      <c r="D82" s="1178">
        <f>+VLOOKUP((A82),'Sumaria renta 20x3'!A:E,5,0)</f>
        <v>11634000</v>
      </c>
      <c r="E82" s="342">
        <f t="shared" si="1"/>
        <v>0</v>
      </c>
    </row>
    <row r="83" spans="1:5" outlineLevel="1" x14ac:dyDescent="0.2">
      <c r="A83" s="195">
        <f>+'BP 311220x3'!A97</f>
        <v>430505</v>
      </c>
      <c r="B83" s="195" t="str">
        <f>+'BP 311220x3'!B97</f>
        <v>Resultado por variación del valor razonable de activos financieros</v>
      </c>
      <c r="C83" s="342">
        <f>+'BP 311220x3'!F97</f>
        <v>-128978090</v>
      </c>
      <c r="D83" s="1178">
        <f>+VLOOKUP((A83),'Sumaria renta 20x3'!A:E,5,0)</f>
        <v>-128978090</v>
      </c>
      <c r="E83" s="342">
        <f t="shared" si="1"/>
        <v>0</v>
      </c>
    </row>
    <row r="84" spans="1:5" s="122" customFormat="1" outlineLevel="1" x14ac:dyDescent="0.2">
      <c r="A84" s="195">
        <f>+'BP 311220x3'!A98</f>
        <v>431005</v>
      </c>
      <c r="B84" s="195" t="str">
        <f>+'BP 311220x3'!B98</f>
        <v>Resultado por variación del valor razonable de propiedades de inversión</v>
      </c>
      <c r="C84" s="342">
        <f>+'BP 311220x3'!F98</f>
        <v>47000000</v>
      </c>
      <c r="D84" s="1178">
        <f>+VLOOKUP((A84),'Sumaria renta 20x3'!A:E,5,0)</f>
        <v>47000000</v>
      </c>
      <c r="E84" s="342">
        <f t="shared" si="1"/>
        <v>0</v>
      </c>
    </row>
    <row r="85" spans="1:5" outlineLevel="1" x14ac:dyDescent="0.2">
      <c r="A85" s="195">
        <f>+'BP 311220x3'!A99</f>
        <v>424505</v>
      </c>
      <c r="B85" s="195" t="str">
        <f>+'BP 311220x3'!B99</f>
        <v>Resultado en venta de propiedades</v>
      </c>
      <c r="C85" s="342">
        <f>+'BP 311220x3'!F99</f>
        <v>0</v>
      </c>
      <c r="D85" s="1178">
        <f>+VLOOKUP((A85),'Sumaria renta 20x3'!A:E,5,0)</f>
        <v>0</v>
      </c>
      <c r="E85" s="342">
        <f t="shared" si="1"/>
        <v>0</v>
      </c>
    </row>
    <row r="86" spans="1:5" outlineLevel="1" x14ac:dyDescent="0.2">
      <c r="A86" s="195">
        <f>+'BP 311220x3'!A100</f>
        <v>421505</v>
      </c>
      <c r="B86" s="195" t="str">
        <f>+'BP 311220x3'!B100</f>
        <v>Dividendos</v>
      </c>
      <c r="C86" s="342">
        <f>+'BP 311220x3'!F100</f>
        <v>22000000</v>
      </c>
      <c r="D86" s="1178">
        <f>+VLOOKUP((A86),'Sumaria renta 20x3'!A:E,5,0)</f>
        <v>22000000</v>
      </c>
      <c r="E86" s="342">
        <f t="shared" si="1"/>
        <v>0</v>
      </c>
    </row>
    <row r="87" spans="1:5" outlineLevel="1" x14ac:dyDescent="0.2">
      <c r="A87" s="195">
        <f>+'BP 311220x3'!A101</f>
        <v>422005</v>
      </c>
      <c r="B87" s="195" t="str">
        <f>+'BP 311220x3'!B101</f>
        <v>Arrendamientos</v>
      </c>
      <c r="C87" s="342">
        <f>+'BP 311220x3'!F101</f>
        <v>62345000</v>
      </c>
      <c r="D87" s="1178">
        <f>+VLOOKUP((A87),'Sumaria renta 20x3'!A:E,5,0)</f>
        <v>62345000</v>
      </c>
      <c r="E87" s="342">
        <f t="shared" si="1"/>
        <v>0</v>
      </c>
    </row>
    <row r="88" spans="1:5" outlineLevel="1" x14ac:dyDescent="0.2">
      <c r="A88" s="195">
        <f>+'BP 311220x3'!A104</f>
        <v>612005</v>
      </c>
      <c r="B88" s="195" t="str">
        <f>+'BP 311220x3'!B104</f>
        <v>Costo de venta de bienes</v>
      </c>
      <c r="C88" s="342">
        <f>-'BP 311220x3'!F104</f>
        <v>-19904463322</v>
      </c>
      <c r="D88" s="1178">
        <f>-VLOOKUP((A88),'Sumaria renta 20x3'!A:E,5,0)</f>
        <v>-19904463322</v>
      </c>
      <c r="E88" s="342">
        <f t="shared" si="1"/>
        <v>0</v>
      </c>
    </row>
    <row r="89" spans="1:5" outlineLevel="1" x14ac:dyDescent="0.2">
      <c r="A89" s="195">
        <f>+'BP 311220x3'!A105</f>
        <v>610505</v>
      </c>
      <c r="B89" s="195" t="str">
        <f>+'BP 311220x3'!B105</f>
        <v>Costo productos agropecuarios</v>
      </c>
      <c r="C89" s="342">
        <f>-'BP 311220x3'!F105</f>
        <v>-274067000</v>
      </c>
      <c r="D89" s="1178">
        <f>-VLOOKUP((A89),'Sumaria renta 20x3'!A:E,5,0)</f>
        <v>-274067000</v>
      </c>
      <c r="E89" s="342">
        <f t="shared" si="1"/>
        <v>0</v>
      </c>
    </row>
    <row r="90" spans="1:5" outlineLevel="1" x14ac:dyDescent="0.2">
      <c r="A90" s="195">
        <f>+'BP 311220x3'!A106</f>
        <v>612010</v>
      </c>
      <c r="B90" s="195" t="str">
        <f>+'BP 311220x3'!B106</f>
        <v>Costos por garantías</v>
      </c>
      <c r="C90" s="342">
        <f>-'BP 311220x3'!F106</f>
        <v>-186000000</v>
      </c>
      <c r="D90" s="1178">
        <f>-VLOOKUP((A90),'Sumaria renta 20x3'!A:E,5,0)</f>
        <v>-186000000</v>
      </c>
      <c r="E90" s="342">
        <f t="shared" si="1"/>
        <v>0</v>
      </c>
    </row>
    <row r="91" spans="1:5" outlineLevel="1" x14ac:dyDescent="0.2">
      <c r="A91" s="195">
        <f>+'BP 311220x3'!A107</f>
        <v>619810</v>
      </c>
      <c r="B91" s="195" t="str">
        <f>+'BP 311220x3'!B107</f>
        <v>Descuentos comerciales condicionados</v>
      </c>
      <c r="C91" s="342">
        <f>-'BP 311220x3'!F107</f>
        <v>40125000</v>
      </c>
      <c r="D91" s="1178">
        <f>-VLOOKUP((A91),'Sumaria renta 20x3'!A:E,5,0)</f>
        <v>40125000</v>
      </c>
      <c r="E91" s="342">
        <f t="shared" si="1"/>
        <v>0</v>
      </c>
    </row>
    <row r="92" spans="1:5" outlineLevel="1" x14ac:dyDescent="0.2">
      <c r="A92" s="195">
        <f>+'BP 311220x3'!A108</f>
        <v>619905</v>
      </c>
      <c r="B92" s="195" t="str">
        <f>+'BP 311220x3'!B108</f>
        <v>Deterioro de inventarios</v>
      </c>
      <c r="C92" s="342">
        <f>-'BP 311220x3'!F108</f>
        <v>25350000</v>
      </c>
      <c r="D92" s="1178">
        <f>-VLOOKUP((A92),'Sumaria renta 20x3'!A:E,5,0)</f>
        <v>25350000</v>
      </c>
      <c r="E92" s="342">
        <f t="shared" si="1"/>
        <v>0</v>
      </c>
    </row>
    <row r="93" spans="1:5" outlineLevel="1" x14ac:dyDescent="0.2">
      <c r="A93" s="195">
        <f>+'BP 311220x3'!A109</f>
        <v>511505</v>
      </c>
      <c r="B93" s="195" t="str">
        <f>+'BP 311220x3'!B109</f>
        <v>Impuesto industria y comercio</v>
      </c>
      <c r="C93" s="342">
        <f>-'BP 311220x3'!F109</f>
        <v>-289426370.51999998</v>
      </c>
      <c r="D93" s="1178">
        <f>-VLOOKUP((A93),'Sumaria renta 20x3'!A:E,5,0)</f>
        <v>-289426370.51999998</v>
      </c>
      <c r="E93" s="342">
        <f t="shared" si="1"/>
        <v>0</v>
      </c>
    </row>
    <row r="94" spans="1:5" outlineLevel="1" x14ac:dyDescent="0.2">
      <c r="A94" s="195">
        <f>+'BP 311220x3'!A110</f>
        <v>510505</v>
      </c>
      <c r="B94" s="195" t="str">
        <f>+'BP 311220x3'!B110</f>
        <v>Gastos de personal</v>
      </c>
      <c r="C94" s="342">
        <f>-'BP 311220x3'!F110</f>
        <v>-325359513</v>
      </c>
      <c r="D94" s="1178">
        <f>-VLOOKUP((A94),'Sumaria renta 20x3'!A:E,5,0)</f>
        <v>-325359513</v>
      </c>
      <c r="E94" s="342">
        <f t="shared" si="1"/>
        <v>0</v>
      </c>
    </row>
    <row r="95" spans="1:5" outlineLevel="1" x14ac:dyDescent="0.2">
      <c r="A95" s="195">
        <f>+'BP 311220x3'!A111</f>
        <v>511595</v>
      </c>
      <c r="B95" s="195" t="str">
        <f>+'BP 311220x3'!B111</f>
        <v>GMF</v>
      </c>
      <c r="C95" s="342">
        <f>-'BP 311220x3'!F111</f>
        <v>-120000000</v>
      </c>
      <c r="D95" s="1178">
        <f>-VLOOKUP((A95),'Sumaria renta 20x3'!A:E,5,0)</f>
        <v>-120000000</v>
      </c>
      <c r="E95" s="342">
        <f t="shared" si="1"/>
        <v>0</v>
      </c>
    </row>
    <row r="96" spans="1:5" outlineLevel="1" x14ac:dyDescent="0.2">
      <c r="A96" s="195">
        <f>+'BP 311220x3'!A112</f>
        <v>511515</v>
      </c>
      <c r="B96" s="195" t="str">
        <f>+'BP 311220x3'!B112</f>
        <v>Impuesto predial</v>
      </c>
      <c r="C96" s="342">
        <f>-'BP 311220x3'!F112</f>
        <v>-67543000</v>
      </c>
      <c r="D96" s="1178">
        <f>-VLOOKUP((A96),'Sumaria renta 20x3'!A:E,5,0)</f>
        <v>-67543000</v>
      </c>
      <c r="E96" s="342">
        <f t="shared" si="1"/>
        <v>0</v>
      </c>
    </row>
    <row r="97" spans="1:7" outlineLevel="1" x14ac:dyDescent="0.2">
      <c r="A97" s="195">
        <f>+'BP 311220x3'!A113</f>
        <v>511590</v>
      </c>
      <c r="B97" s="195" t="str">
        <f>+'BP 311220x3'!B113</f>
        <v>Impuesto a la riqueza</v>
      </c>
      <c r="C97" s="342">
        <f>-'BP 311220x3'!F113</f>
        <v>-6543000</v>
      </c>
      <c r="D97" s="1178">
        <f>-VLOOKUP((A97),'Sumaria renta 20x3'!A:E,5,0)</f>
        <v>-6543000</v>
      </c>
      <c r="E97" s="342">
        <f t="shared" si="1"/>
        <v>0</v>
      </c>
    </row>
    <row r="98" spans="1:7" outlineLevel="1" x14ac:dyDescent="0.2">
      <c r="A98" s="195">
        <f>+'BP 311220x3'!A114</f>
        <v>511005</v>
      </c>
      <c r="B98" s="195" t="str">
        <f>+'BP 311220x3'!B114</f>
        <v>Gastos por honorarios</v>
      </c>
      <c r="C98" s="342">
        <f>-'BP 311220x3'!F114</f>
        <v>-145000000</v>
      </c>
      <c r="D98" s="1178">
        <f>-VLOOKUP((A98),'Sumaria renta 20x3'!A:E,5,0)</f>
        <v>-145000000</v>
      </c>
      <c r="E98" s="342">
        <f t="shared" si="1"/>
        <v>0</v>
      </c>
      <c r="F98" s="1179"/>
    </row>
    <row r="99" spans="1:7" outlineLevel="1" x14ac:dyDescent="0.2">
      <c r="A99" s="195">
        <f>+'BP 311220x3'!A115</f>
        <v>512005</v>
      </c>
      <c r="B99" s="195" t="str">
        <f>+'BP 311220x3'!B115</f>
        <v xml:space="preserve">Gasto por arrendamientos </v>
      </c>
      <c r="C99" s="342">
        <f>-'BP 311220x3'!F115</f>
        <v>-140352000</v>
      </c>
      <c r="D99" s="1178">
        <f>-VLOOKUP((A99),'Sumaria renta 20x3'!A:E,5,0)</f>
        <v>-140352000</v>
      </c>
      <c r="E99" s="342">
        <f t="shared" si="1"/>
        <v>0</v>
      </c>
      <c r="G99" s="229"/>
    </row>
    <row r="100" spans="1:7" outlineLevel="1" x14ac:dyDescent="0.2">
      <c r="A100" s="195">
        <f>+'BP 311220x3'!A116</f>
        <v>513505</v>
      </c>
      <c r="B100" s="195" t="str">
        <f>+'BP 311220x3'!B116</f>
        <v>Gastos por servicios</v>
      </c>
      <c r="C100" s="342">
        <f>-'BP 311220x3'!F116</f>
        <v>-756000000</v>
      </c>
      <c r="D100" s="1178">
        <f>-VLOOKUP((A100),'Sumaria renta 20x3'!A:E,5,0)</f>
        <v>-756000000</v>
      </c>
      <c r="E100" s="342">
        <f t="shared" si="1"/>
        <v>0</v>
      </c>
    </row>
    <row r="101" spans="1:7" outlineLevel="1" x14ac:dyDescent="0.2">
      <c r="A101" s="195">
        <f>+'BP 311220x3'!A117</f>
        <v>514005</v>
      </c>
      <c r="B101" s="195" t="str">
        <f>+'BP 311220x3'!B117</f>
        <v>Gastos legales</v>
      </c>
      <c r="C101" s="342">
        <f>-'BP 311220x3'!F117</f>
        <v>-43125000</v>
      </c>
      <c r="D101" s="1178">
        <f>-VLOOKUP((A101),'Sumaria renta 20x3'!A:E,5,0)</f>
        <v>-43125000</v>
      </c>
      <c r="E101" s="342">
        <f t="shared" si="1"/>
        <v>0</v>
      </c>
    </row>
    <row r="102" spans="1:7" outlineLevel="1" x14ac:dyDescent="0.2">
      <c r="A102" s="195">
        <f>+'BP 311220x3'!A118</f>
        <v>516005</v>
      </c>
      <c r="B102" s="195" t="str">
        <f>+'BP 311220x3'!B118</f>
        <v>Gastos por depreciaciones</v>
      </c>
      <c r="C102" s="342">
        <f>-'BP 311220x3'!F118</f>
        <v>-43505095</v>
      </c>
      <c r="D102" s="1178">
        <f>-VLOOKUP((A102),'Sumaria renta 20x3'!A:E,5,0)</f>
        <v>-43505095</v>
      </c>
      <c r="E102" s="342">
        <f t="shared" si="1"/>
        <v>0</v>
      </c>
    </row>
    <row r="103" spans="1:7" outlineLevel="1" x14ac:dyDescent="0.2">
      <c r="A103" s="195">
        <f>+'BP 311220x3'!A119</f>
        <v>516098</v>
      </c>
      <c r="B103" s="195" t="str">
        <f>+'BP 311220x3'!B119</f>
        <v>Gastos por depreciaciones ajuste NIIF</v>
      </c>
      <c r="C103" s="342">
        <f>-'BP 311220x3'!F119</f>
        <v>-6190476</v>
      </c>
      <c r="D103" s="1178">
        <f>-VLOOKUP((A103),'Sumaria renta 20x3'!A:E,5,0)</f>
        <v>-6190476</v>
      </c>
      <c r="E103" s="342">
        <f t="shared" si="1"/>
        <v>0</v>
      </c>
    </row>
    <row r="104" spans="1:7" outlineLevel="1" x14ac:dyDescent="0.2">
      <c r="A104" s="195">
        <f>+'BP 311220x3'!A120</f>
        <v>514505</v>
      </c>
      <c r="B104" s="195" t="str">
        <f>+'BP 311220x3'!B120</f>
        <v>Mantenimientos</v>
      </c>
      <c r="C104" s="342">
        <f>-'BP 311220x3'!F120</f>
        <v>-157000000</v>
      </c>
      <c r="D104" s="1178">
        <f>-VLOOKUP((A104),'Sumaria renta 20x3'!A:E,5,0)</f>
        <v>-157000000</v>
      </c>
      <c r="E104" s="342">
        <f t="shared" si="1"/>
        <v>0</v>
      </c>
    </row>
    <row r="105" spans="1:7" outlineLevel="1" x14ac:dyDescent="0.2">
      <c r="A105" s="195">
        <f>+'BP 311220x3'!A121</f>
        <v>513005</v>
      </c>
      <c r="B105" s="195" t="str">
        <f>+'BP 311220x3'!B121</f>
        <v>Pólizas y seguros</v>
      </c>
      <c r="C105" s="342">
        <f>-'BP 311220x3'!F121</f>
        <v>-48062000</v>
      </c>
      <c r="D105" s="1178">
        <f>-VLOOKUP((A105),'Sumaria renta 20x3'!A:E,5,0)</f>
        <v>-48062000</v>
      </c>
      <c r="E105" s="342">
        <f t="shared" si="1"/>
        <v>0</v>
      </c>
    </row>
    <row r="106" spans="1:7" outlineLevel="1" x14ac:dyDescent="0.2">
      <c r="A106" s="195">
        <f>+'BP 311220x3'!A122</f>
        <v>515505</v>
      </c>
      <c r="B106" s="195" t="str">
        <f>+'BP 311220x3'!B122</f>
        <v>Gastos de viajes</v>
      </c>
      <c r="C106" s="342">
        <f>-'BP 311220x3'!F122</f>
        <v>-54585000</v>
      </c>
      <c r="D106" s="1178">
        <f>-VLOOKUP((A106),'Sumaria renta 20x3'!A:E,5,0)</f>
        <v>-54585000</v>
      </c>
      <c r="E106" s="342">
        <f t="shared" si="1"/>
        <v>0</v>
      </c>
    </row>
    <row r="107" spans="1:7" outlineLevel="1" x14ac:dyDescent="0.2">
      <c r="A107" s="195">
        <f>+'BP 311220x3'!A123</f>
        <v>519510</v>
      </c>
      <c r="B107" s="195" t="str">
        <f>+'BP 311220x3'!B123</f>
        <v>Gastos por suscripciones</v>
      </c>
      <c r="C107" s="342">
        <f>-'BP 311220x3'!F123</f>
        <v>-18560000</v>
      </c>
      <c r="D107" s="1178">
        <f>-VLOOKUP((A107),'Sumaria renta 20x3'!A:E,5,0)</f>
        <v>-18560000</v>
      </c>
      <c r="E107" s="342">
        <f t="shared" si="1"/>
        <v>0</v>
      </c>
    </row>
    <row r="108" spans="1:7" outlineLevel="1" x14ac:dyDescent="0.2">
      <c r="A108" s="195">
        <f>+'BP 311220x3'!A124</f>
        <v>516505</v>
      </c>
      <c r="B108" s="195" t="str">
        <f>+'BP 311220x3'!B124</f>
        <v>Gasto por amortización de diferidos</v>
      </c>
      <c r="C108" s="342">
        <f>-'BP 311220x3'!F124</f>
        <v>0</v>
      </c>
      <c r="D108" s="1178">
        <f>-VLOOKUP((A108),'Sumaria renta 20x3'!A:E,5,0)</f>
        <v>0</v>
      </c>
      <c r="E108" s="342">
        <f t="shared" si="1"/>
        <v>0</v>
      </c>
    </row>
    <row r="109" spans="1:7" outlineLevel="1" x14ac:dyDescent="0.2">
      <c r="A109" s="195">
        <f>+'BP 311220x3'!A125</f>
        <v>519530</v>
      </c>
      <c r="B109" s="195" t="str">
        <f>+'BP 311220x3'!B125</f>
        <v>Gastos por papelería</v>
      </c>
      <c r="C109" s="342">
        <f>-'BP 311220x3'!F125</f>
        <v>-76543000</v>
      </c>
      <c r="D109" s="1178">
        <f>-VLOOKUP((A109),'Sumaria renta 20x3'!A:E,5,0)</f>
        <v>-76543000</v>
      </c>
      <c r="E109" s="342">
        <f t="shared" si="1"/>
        <v>0</v>
      </c>
    </row>
    <row r="110" spans="1:7" outlineLevel="1" x14ac:dyDescent="0.2">
      <c r="A110" s="195">
        <f>+'BP 311220x3'!A126</f>
        <v>519585</v>
      </c>
      <c r="B110" s="195" t="str">
        <f>+'BP 311220x3'!B126</f>
        <v>Gastos de combustibles y otros</v>
      </c>
      <c r="C110" s="342">
        <f>-'BP 311220x3'!F126</f>
        <v>-67876000</v>
      </c>
      <c r="D110" s="1178">
        <f>-VLOOKUP((A110),'Sumaria renta 20x3'!A:E,5,0)</f>
        <v>-67876000</v>
      </c>
      <c r="E110" s="342">
        <f t="shared" si="1"/>
        <v>0</v>
      </c>
    </row>
    <row r="111" spans="1:7" outlineLevel="1" x14ac:dyDescent="0.2">
      <c r="A111" s="195">
        <f>+'BP 311220x3'!A127</f>
        <v>539505</v>
      </c>
      <c r="B111" s="195" t="str">
        <f>+'BP 311220x3'!B127</f>
        <v>Gastos por demandas</v>
      </c>
      <c r="C111" s="342">
        <f>-'BP 311220x3'!F127</f>
        <v>-77348871</v>
      </c>
      <c r="D111" s="1178">
        <f>-VLOOKUP((A111),'Sumaria renta 20x3'!A:E,5,0)</f>
        <v>-77348871</v>
      </c>
      <c r="E111" s="342">
        <f t="shared" si="1"/>
        <v>0</v>
      </c>
    </row>
    <row r="112" spans="1:7" outlineLevel="1" x14ac:dyDescent="0.2">
      <c r="A112" s="195">
        <f>+'BP 311220x3'!A128</f>
        <v>516510</v>
      </c>
      <c r="B112" s="195" t="str">
        <f>+'BP 311220x3'!B128</f>
        <v>Amortización intangibles</v>
      </c>
      <c r="C112" s="342">
        <f>-'BP 311220x3'!F128</f>
        <v>-13000000</v>
      </c>
      <c r="D112" s="1178">
        <f>-VLOOKUP((A112),'Sumaria renta 20x3'!A:E,5,0)</f>
        <v>-13000000</v>
      </c>
      <c r="E112" s="342">
        <f t="shared" si="1"/>
        <v>0</v>
      </c>
    </row>
    <row r="113" spans="1:5" outlineLevel="1" x14ac:dyDescent="0.2">
      <c r="A113" s="195">
        <f>+'BP 311220x3'!A129</f>
        <v>519905</v>
      </c>
      <c r="B113" s="195" t="str">
        <f>+'BP 311220x3'!B129</f>
        <v>Deterioro de cuentas por cobrar fiscal</v>
      </c>
      <c r="C113" s="342">
        <f>-'BP 311220x3'!F129</f>
        <v>0</v>
      </c>
      <c r="D113" s="1178">
        <f>-VLOOKUP((A113),'Sumaria renta 20x3'!A:E,5,0)</f>
        <v>0</v>
      </c>
      <c r="E113" s="342">
        <f t="shared" si="1"/>
        <v>0</v>
      </c>
    </row>
    <row r="114" spans="1:5" outlineLevel="1" x14ac:dyDescent="0.2">
      <c r="A114" s="195">
        <f>+'BP 311220x3'!A130</f>
        <v>519906</v>
      </c>
      <c r="B114" s="195" t="str">
        <f>+'BP 311220x3'!B130</f>
        <v>Deterioro de cuentas por cobrar ajuste NIIF</v>
      </c>
      <c r="C114" s="342">
        <f>-'BP 311220x3'!F130</f>
        <v>0</v>
      </c>
      <c r="D114" s="1178">
        <f>-VLOOKUP((A114),'Sumaria renta 20x3'!A:E,5,0)</f>
        <v>0</v>
      </c>
      <c r="E114" s="342">
        <f t="shared" si="1"/>
        <v>0</v>
      </c>
    </row>
    <row r="115" spans="1:5" outlineLevel="1" x14ac:dyDescent="0.2">
      <c r="A115" s="195">
        <f>+'BP 311220x3'!A131</f>
        <v>530505</v>
      </c>
      <c r="B115" s="195" t="str">
        <f>+'BP 311220x3'!B131</f>
        <v>Gastos bancarios y comisiones</v>
      </c>
      <c r="C115" s="342">
        <f>-'BP 311220x3'!F131</f>
        <v>-13456000</v>
      </c>
      <c r="D115" s="1178">
        <f>-VLOOKUP((A115),'Sumaria renta 20x3'!A:E,5,0)</f>
        <v>-13456000</v>
      </c>
      <c r="E115" s="342">
        <f t="shared" si="1"/>
        <v>0</v>
      </c>
    </row>
    <row r="116" spans="1:5" outlineLevel="1" x14ac:dyDescent="0.2">
      <c r="A116" s="195">
        <f>+'BP 311220x3'!A132</f>
        <v>530520</v>
      </c>
      <c r="B116" s="195" t="str">
        <f>+'BP 311220x3'!B132</f>
        <v>Gastos financieros</v>
      </c>
      <c r="C116" s="342">
        <f>-'BP 311220x3'!F132</f>
        <v>-255228597</v>
      </c>
      <c r="D116" s="1178">
        <f>-VLOOKUP((A116),'Sumaria renta 20x3'!A:E,5,0)</f>
        <v>-255228597</v>
      </c>
      <c r="E116" s="342">
        <f t="shared" si="1"/>
        <v>0</v>
      </c>
    </row>
    <row r="117" spans="1:5" outlineLevel="1" x14ac:dyDescent="0.2">
      <c r="A117" s="195">
        <f>+'BP 311220x3'!A133</f>
        <v>530521</v>
      </c>
      <c r="B117" s="195" t="str">
        <f>+'BP 311220x3'!B133</f>
        <v>Intereses- actualización de provisiones</v>
      </c>
      <c r="C117" s="342">
        <f>-'BP 311220x3'!F133</f>
        <v>-15332441</v>
      </c>
      <c r="D117" s="1178">
        <f>-VLOOKUP((A117),'Sumaria renta 20x3'!A:E,5,0)</f>
        <v>-15332441</v>
      </c>
      <c r="E117" s="342">
        <f t="shared" si="1"/>
        <v>0</v>
      </c>
    </row>
    <row r="118" spans="1:5" outlineLevel="1" x14ac:dyDescent="0.2">
      <c r="A118" s="195">
        <f>+'BP 311220x3'!A134</f>
        <v>530522</v>
      </c>
      <c r="B118" s="195" t="str">
        <f>+'BP 311220x3'!B134</f>
        <v>Gastos financieros - costos de transacción</v>
      </c>
      <c r="C118" s="342">
        <f>-'BP 311220x3'!F134</f>
        <v>-20591301</v>
      </c>
      <c r="D118" s="1178">
        <f>-VLOOKUP((A118),'Sumaria renta 20x3'!A:E,5,0)</f>
        <v>-20591301</v>
      </c>
      <c r="E118" s="342">
        <f t="shared" si="1"/>
        <v>0</v>
      </c>
    </row>
    <row r="119" spans="1:5" outlineLevel="1" x14ac:dyDescent="0.2">
      <c r="A119" s="15"/>
      <c r="B119" s="15"/>
      <c r="C119" s="376">
        <f>SUM(C72:C118)</f>
        <v>7084219728.4799995</v>
      </c>
      <c r="D119" s="376">
        <f>SUM(D72:D118)</f>
        <v>7084219728.4799995</v>
      </c>
      <c r="E119" s="342">
        <f t="shared" si="1"/>
        <v>0</v>
      </c>
    </row>
    <row r="120" spans="1:5" outlineLevel="1" x14ac:dyDescent="0.2">
      <c r="A120" s="15"/>
      <c r="B120" s="15"/>
      <c r="C120" s="376">
        <f>+'BP 311220x3'!F85-SUM('BP 311220x3'!F104:F134)-C119</f>
        <v>0</v>
      </c>
      <c r="D120" s="338"/>
      <c r="E120" s="570"/>
    </row>
    <row r="121" spans="1:5" outlineLevel="1" x14ac:dyDescent="0.2">
      <c r="A121" s="15"/>
      <c r="B121" s="195" t="s">
        <v>377</v>
      </c>
      <c r="C121" s="377"/>
      <c r="D121" s="261">
        <v>0</v>
      </c>
      <c r="E121" s="570"/>
    </row>
    <row r="122" spans="1:5" outlineLevel="1" x14ac:dyDescent="0.2">
      <c r="A122" s="15"/>
      <c r="B122" s="195" t="s">
        <v>378</v>
      </c>
      <c r="C122" s="377"/>
      <c r="D122" s="261">
        <v>0</v>
      </c>
      <c r="E122" s="570"/>
    </row>
    <row r="123" spans="1:5" outlineLevel="1" x14ac:dyDescent="0.2">
      <c r="A123" s="15"/>
      <c r="C123" s="338"/>
      <c r="D123" s="197"/>
      <c r="E123" s="197"/>
    </row>
    <row r="124" spans="1:5" outlineLevel="1" x14ac:dyDescent="0.2">
      <c r="A124" s="15"/>
      <c r="B124" s="319" t="s">
        <v>379</v>
      </c>
      <c r="C124" s="377"/>
      <c r="D124" s="360">
        <f>+D119+D121+D122</f>
        <v>7084219728.4799995</v>
      </c>
      <c r="E124" s="573"/>
    </row>
    <row r="125" spans="1:5" outlineLevel="1" x14ac:dyDescent="0.2"/>
    <row r="126" spans="1:5" outlineLevel="1" x14ac:dyDescent="0.2">
      <c r="B126" s="319" t="s">
        <v>380</v>
      </c>
      <c r="C126" s="319"/>
      <c r="D126" s="360">
        <f>ROUND((D124*0.35),-3)</f>
        <v>2479477000</v>
      </c>
      <c r="E126" s="573"/>
    </row>
    <row r="127" spans="1:5" outlineLevel="1" x14ac:dyDescent="0.2">
      <c r="B127" s="15"/>
      <c r="C127" s="15"/>
      <c r="D127" s="573"/>
      <c r="E127" s="573"/>
    </row>
    <row r="128" spans="1:5" outlineLevel="1" x14ac:dyDescent="0.2">
      <c r="B128" s="319" t="s">
        <v>2089</v>
      </c>
      <c r="C128" s="15"/>
      <c r="D128" s="342">
        <v>0</v>
      </c>
      <c r="E128" s="570"/>
    </row>
    <row r="129" spans="2:5" outlineLevel="1" x14ac:dyDescent="0.2"/>
    <row r="130" spans="2:5" outlineLevel="1" x14ac:dyDescent="0.2">
      <c r="B130" s="195" t="s">
        <v>381</v>
      </c>
      <c r="C130" s="195"/>
      <c r="D130" s="342">
        <v>0</v>
      </c>
      <c r="E130" s="570"/>
    </row>
    <row r="131" spans="2:5" outlineLevel="1" x14ac:dyDescent="0.2"/>
    <row r="132" spans="2:5" x14ac:dyDescent="0.2">
      <c r="B132" s="319" t="s">
        <v>380</v>
      </c>
      <c r="D132" s="360">
        <f>+D126+D128</f>
        <v>2479477000</v>
      </c>
      <c r="E132" s="573"/>
    </row>
  </sheetData>
  <pageMargins left="0.39370078740157483" right="0.39370078740157483" top="0.39370078740157483" bottom="0.39370078740157483" header="0" footer="0"/>
  <pageSetup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U233"/>
  <sheetViews>
    <sheetView showGridLines="0" zoomScale="130" zoomScaleNormal="130" workbookViewId="0">
      <pane xSplit="1" ySplit="3" topLeftCell="D162" activePane="bottomRight" state="frozen"/>
      <selection pane="topRight" activeCell="B1" sqref="B1"/>
      <selection pane="bottomLeft" activeCell="A4" sqref="A4"/>
      <selection pane="bottomRight" activeCell="H226" sqref="H226"/>
    </sheetView>
  </sheetViews>
  <sheetFormatPr baseColWidth="10" defaultRowHeight="12.75" outlineLevelRow="1" x14ac:dyDescent="0.2"/>
  <cols>
    <col min="1" max="1" width="40.42578125" style="190" customWidth="1"/>
    <col min="2" max="6" width="19.7109375" style="190" customWidth="1"/>
    <col min="7" max="7" width="14.140625" style="190" bestFit="1" customWidth="1"/>
    <col min="8" max="8" width="14.85546875" style="190" bestFit="1" customWidth="1"/>
    <col min="9" max="9" width="19.28515625" style="190" bestFit="1" customWidth="1"/>
    <col min="10" max="10" width="18" style="190" customWidth="1"/>
    <col min="11" max="11" width="12.85546875" style="190" bestFit="1" customWidth="1"/>
    <col min="12" max="12" width="13.85546875" style="190" customWidth="1"/>
    <col min="13" max="16384" width="11.42578125" style="190"/>
  </cols>
  <sheetData>
    <row r="1" spans="1:255" s="189" customFormat="1" x14ac:dyDescent="0.2">
      <c r="A1" s="187"/>
      <c r="B1" s="188"/>
      <c r="C1" s="187"/>
    </row>
    <row r="2" spans="1:255" x14ac:dyDescent="0.2">
      <c r="A2" s="15" t="s">
        <v>115</v>
      </c>
      <c r="IU2" s="190" t="s">
        <v>214</v>
      </c>
    </row>
    <row r="3" spans="1:255" ht="25.5" x14ac:dyDescent="0.2">
      <c r="A3" s="369" t="s">
        <v>36</v>
      </c>
      <c r="B3" s="369" t="s">
        <v>166</v>
      </c>
      <c r="C3" s="369" t="s">
        <v>271</v>
      </c>
      <c r="D3" s="369" t="s">
        <v>37</v>
      </c>
      <c r="E3" s="369" t="s">
        <v>410</v>
      </c>
      <c r="F3" s="369" t="s">
        <v>272</v>
      </c>
    </row>
    <row r="4" spans="1:255" x14ac:dyDescent="0.2">
      <c r="A4" s="15"/>
    </row>
    <row r="5" spans="1:255" x14ac:dyDescent="0.2">
      <c r="A5" s="191" t="s">
        <v>2156</v>
      </c>
      <c r="B5" s="192"/>
      <c r="C5" s="193"/>
      <c r="D5" s="193"/>
      <c r="E5" s="193"/>
      <c r="F5" s="192"/>
    </row>
    <row r="6" spans="1:255" x14ac:dyDescent="0.2">
      <c r="A6" s="15"/>
    </row>
    <row r="7" spans="1:255" ht="25.5" hidden="1" outlineLevel="1" x14ac:dyDescent="0.2">
      <c r="A7" s="369" t="s">
        <v>36</v>
      </c>
      <c r="B7" s="369" t="s">
        <v>166</v>
      </c>
      <c r="C7" s="369" t="s">
        <v>271</v>
      </c>
      <c r="D7" s="369" t="s">
        <v>37</v>
      </c>
      <c r="E7" s="369" t="s">
        <v>410</v>
      </c>
      <c r="F7" s="369" t="s">
        <v>272</v>
      </c>
      <c r="G7" s="370" t="s">
        <v>60</v>
      </c>
      <c r="IU7" s="190" t="s">
        <v>213</v>
      </c>
    </row>
    <row r="8" spans="1:255" hidden="1" outlineLevel="1" x14ac:dyDescent="0.2">
      <c r="A8" s="371" t="str">
        <f>+'BP 010120x1'!B6</f>
        <v>Cuenta cte. Bancolombia</v>
      </c>
      <c r="B8" s="342">
        <f>+'BP 010120x1'!C6</f>
        <v>1242835000</v>
      </c>
      <c r="C8" s="342">
        <f>+B8</f>
        <v>1242835000</v>
      </c>
      <c r="D8" s="342">
        <f>+B8-C8</f>
        <v>0</v>
      </c>
      <c r="E8" s="342"/>
      <c r="F8" s="342"/>
    </row>
    <row r="9" spans="1:255" hidden="1" outlineLevel="1" x14ac:dyDescent="0.2">
      <c r="A9" s="371" t="str">
        <f>+'BP 010120x1'!B7</f>
        <v xml:space="preserve">Cta Banco Miami </v>
      </c>
      <c r="B9" s="342">
        <f>+'BP 010120x1'!C7</f>
        <v>36520000</v>
      </c>
      <c r="C9" s="342">
        <f>+B9</f>
        <v>36520000</v>
      </c>
      <c r="D9" s="342">
        <f>+C9-B9</f>
        <v>0</v>
      </c>
      <c r="E9" s="342"/>
      <c r="F9" s="342"/>
      <c r="H9" s="190" t="s">
        <v>123</v>
      </c>
      <c r="J9" s="229"/>
    </row>
    <row r="10" spans="1:255" hidden="1" outlineLevel="1" x14ac:dyDescent="0.2">
      <c r="A10" s="371" t="str">
        <f>+'BP 010120x1'!B8</f>
        <v>Carteras colectivas</v>
      </c>
      <c r="B10" s="342">
        <f>+'BP 010120x1'!C8</f>
        <v>123567000</v>
      </c>
      <c r="C10" s="342">
        <f>+B10</f>
        <v>123567000</v>
      </c>
      <c r="D10" s="342">
        <f>+C10-B10</f>
        <v>0</v>
      </c>
      <c r="E10" s="342"/>
      <c r="F10" s="342"/>
    </row>
    <row r="11" spans="1:255" hidden="1" outlineLevel="1" x14ac:dyDescent="0.2">
      <c r="A11" s="371" t="str">
        <f>+'BP 010120x1'!B9</f>
        <v>Cuenta cte. Banco Bogotá</v>
      </c>
      <c r="B11" s="342">
        <f>+'BP 010120x1'!C9</f>
        <v>112563000</v>
      </c>
      <c r="C11" s="342">
        <f>+B11</f>
        <v>112563000</v>
      </c>
      <c r="D11" s="342">
        <f>+B11-C11</f>
        <v>0</v>
      </c>
      <c r="E11" s="342"/>
      <c r="F11" s="342"/>
      <c r="H11" s="190" t="s">
        <v>124</v>
      </c>
    </row>
    <row r="12" spans="1:255" hidden="1" outlineLevel="1" x14ac:dyDescent="0.2">
      <c r="A12" s="371" t="str">
        <f>+'BP 010120x1'!B10</f>
        <v>Grupo Aval- preferencial (0.0094%)</v>
      </c>
      <c r="B12" s="342">
        <f>+'BP 010120x1'!C10</f>
        <v>325052000</v>
      </c>
      <c r="C12" s="342">
        <f>+B12</f>
        <v>325052000</v>
      </c>
      <c r="D12" s="342">
        <f>+B12-C12</f>
        <v>0</v>
      </c>
      <c r="E12" s="342"/>
      <c r="F12" s="342"/>
      <c r="H12" s="197"/>
      <c r="I12" s="229"/>
    </row>
    <row r="13" spans="1:255" hidden="1" outlineLevel="1" x14ac:dyDescent="0.2">
      <c r="A13" s="371" t="str">
        <f>+'BP 010120x1'!B11</f>
        <v>Grupo aval - ajustes al VR</v>
      </c>
      <c r="B13" s="342">
        <f>+'BP 010120x1'!C11</f>
        <v>124015920</v>
      </c>
      <c r="C13" s="342">
        <v>0</v>
      </c>
      <c r="D13" s="342">
        <f>+B13-C13</f>
        <v>124015920</v>
      </c>
      <c r="E13" s="342"/>
      <c r="F13" s="342"/>
      <c r="G13" s="190" t="s">
        <v>376</v>
      </c>
      <c r="I13" s="229"/>
    </row>
    <row r="14" spans="1:255" hidden="1" outlineLevel="1" x14ac:dyDescent="0.2">
      <c r="A14" s="371" t="str">
        <f>+'BP 010120x1'!B12</f>
        <v>Construcciones Lvg SAS (40%)</v>
      </c>
      <c r="B14" s="342">
        <f>+'BP 010120x1'!C12</f>
        <v>1806700000</v>
      </c>
      <c r="C14" s="342">
        <f>+Acciones!F19</f>
        <v>1806700000</v>
      </c>
      <c r="D14" s="342">
        <f>+B14-C14</f>
        <v>0</v>
      </c>
      <c r="E14" s="342"/>
      <c r="F14" s="342"/>
      <c r="H14" s="197"/>
      <c r="I14" s="229"/>
    </row>
    <row r="15" spans="1:255" hidden="1" outlineLevel="1" x14ac:dyDescent="0.2">
      <c r="A15" s="371" t="str">
        <f>+'BP 010120x1'!B13</f>
        <v>Inversiones en CDT</v>
      </c>
      <c r="B15" s="342">
        <f>+'BP 010120x1'!C13</f>
        <v>1200000000</v>
      </c>
      <c r="C15" s="342">
        <f>+CDT!D19</f>
        <v>1200000000</v>
      </c>
      <c r="D15" s="342">
        <f t="shared" ref="D15:D48" si="0">+B15-C15</f>
        <v>0</v>
      </c>
      <c r="E15" s="342"/>
      <c r="F15" s="342"/>
      <c r="H15" s="197"/>
      <c r="I15" s="229"/>
    </row>
    <row r="16" spans="1:255" hidden="1" outlineLevel="1" x14ac:dyDescent="0.2">
      <c r="A16" s="371" t="str">
        <f>+'BP 010120x1'!B14</f>
        <v>Derivados financieros</v>
      </c>
      <c r="B16" s="342">
        <f>+'BP 010120x1'!C14</f>
        <v>78891000</v>
      </c>
      <c r="C16" s="342">
        <v>0</v>
      </c>
      <c r="D16" s="342">
        <f t="shared" si="0"/>
        <v>78891000</v>
      </c>
      <c r="E16" s="342" t="s">
        <v>213</v>
      </c>
      <c r="F16" s="342">
        <f>-ROUND((D16*0.33),0)</f>
        <v>-26034030</v>
      </c>
      <c r="H16" s="197"/>
    </row>
    <row r="17" spans="1:6" hidden="1" outlineLevel="1" x14ac:dyDescent="0.2">
      <c r="A17" s="371" t="str">
        <f>+'BP 010120x1'!B15</f>
        <v>Cuentas por cobrar clientes</v>
      </c>
      <c r="B17" s="342">
        <f>+'BP 010120x1'!C15</f>
        <v>1148431282</v>
      </c>
      <c r="C17" s="342">
        <f t="shared" ref="C17:C22" si="1">+B17</f>
        <v>1148431282</v>
      </c>
      <c r="D17" s="342">
        <f t="shared" si="0"/>
        <v>0</v>
      </c>
      <c r="E17" s="342"/>
      <c r="F17" s="342"/>
    </row>
    <row r="18" spans="1:6" hidden="1" outlineLevel="1" x14ac:dyDescent="0.2">
      <c r="A18" s="371" t="str">
        <f>+'BP 010120x1'!B16</f>
        <v>Préstamos a asociadas</v>
      </c>
      <c r="B18" s="342">
        <f>+'BP 010120x1'!C16</f>
        <v>45000000</v>
      </c>
      <c r="C18" s="342">
        <f t="shared" si="1"/>
        <v>45000000</v>
      </c>
      <c r="D18" s="342">
        <f t="shared" si="0"/>
        <v>0</v>
      </c>
      <c r="E18" s="342"/>
      <c r="F18" s="342"/>
    </row>
    <row r="19" spans="1:6" hidden="1" outlineLevel="1" x14ac:dyDescent="0.2">
      <c r="A19" s="371" t="str">
        <f>+'BP 010120x1'!B17</f>
        <v xml:space="preserve">Avances para gastos de viaje </v>
      </c>
      <c r="B19" s="342">
        <f>+'BP 010120x1'!C17</f>
        <v>12500000</v>
      </c>
      <c r="C19" s="342">
        <f t="shared" si="1"/>
        <v>12500000</v>
      </c>
      <c r="D19" s="342">
        <f t="shared" si="0"/>
        <v>0</v>
      </c>
      <c r="E19" s="342"/>
      <c r="F19" s="342"/>
    </row>
    <row r="20" spans="1:6" hidden="1" outlineLevel="1" x14ac:dyDescent="0.2">
      <c r="A20" s="371" t="str">
        <f>+'BP 010120x1'!B18</f>
        <v>Saldo a favor IVA</v>
      </c>
      <c r="B20" s="342">
        <f>+'BP 010120x1'!C18</f>
        <v>23526000</v>
      </c>
      <c r="C20" s="342">
        <f t="shared" si="1"/>
        <v>23526000</v>
      </c>
      <c r="D20" s="342">
        <f t="shared" si="0"/>
        <v>0</v>
      </c>
      <c r="E20" s="342"/>
      <c r="F20" s="342"/>
    </row>
    <row r="21" spans="1:6" hidden="1" outlineLevel="1" x14ac:dyDescent="0.2">
      <c r="A21" s="371" t="str">
        <f>+'BP 010120x1'!B19</f>
        <v>Prestamos gerente</v>
      </c>
      <c r="B21" s="342">
        <f>+'BP 010120x1'!C19</f>
        <v>72000000</v>
      </c>
      <c r="C21" s="342">
        <f t="shared" si="1"/>
        <v>72000000</v>
      </c>
      <c r="D21" s="342">
        <f t="shared" si="0"/>
        <v>0</v>
      </c>
      <c r="E21" s="342"/>
      <c r="F21" s="342"/>
    </row>
    <row r="22" spans="1:6" hidden="1" outlineLevel="1" x14ac:dyDescent="0.2">
      <c r="A22" s="371" t="str">
        <f>+'BP 010120x1'!B20</f>
        <v>Provisión- C x Cobrar fiscal</v>
      </c>
      <c r="B22" s="342">
        <f>+'BP 010120x1'!C20</f>
        <v>-299010668.22000003</v>
      </c>
      <c r="C22" s="342">
        <f t="shared" si="1"/>
        <v>-299010668.22000003</v>
      </c>
      <c r="D22" s="342">
        <f t="shared" si="0"/>
        <v>0</v>
      </c>
      <c r="E22" s="342"/>
      <c r="F22" s="342"/>
    </row>
    <row r="23" spans="1:6" hidden="1" outlineLevel="1" x14ac:dyDescent="0.2">
      <c r="A23" s="371" t="str">
        <f>+'BP 010120x1'!B21</f>
        <v>Deterioro CXC - ajuste a NIIF</v>
      </c>
      <c r="B23" s="342">
        <f>+'BP 010120x1'!C21</f>
        <v>-121687829.77999997</v>
      </c>
      <c r="C23" s="342">
        <v>0</v>
      </c>
      <c r="D23" s="342">
        <f t="shared" si="0"/>
        <v>-121687829.77999997</v>
      </c>
      <c r="E23" s="342" t="s">
        <v>214</v>
      </c>
      <c r="F23" s="342">
        <f>-ROUND((D23*0.33),0)</f>
        <v>40156984</v>
      </c>
    </row>
    <row r="24" spans="1:6" hidden="1" outlineLevel="1" x14ac:dyDescent="0.2">
      <c r="A24" s="371" t="str">
        <f>+'BP 010120x1'!B22</f>
        <v>Materia prima</v>
      </c>
      <c r="B24" s="342">
        <f>+'BP 010120x1'!C22</f>
        <v>652890000</v>
      </c>
      <c r="C24" s="342">
        <f>+B24</f>
        <v>652890000</v>
      </c>
      <c r="D24" s="342">
        <f t="shared" si="0"/>
        <v>0</v>
      </c>
      <c r="E24" s="342"/>
      <c r="F24" s="342"/>
    </row>
    <row r="25" spans="1:6" hidden="1" outlineLevel="1" x14ac:dyDescent="0.2">
      <c r="A25" s="371" t="str">
        <f>+'BP 010120x1'!B23</f>
        <v>Productos terminados</v>
      </c>
      <c r="B25" s="342">
        <f>+'BP 010120x1'!C23</f>
        <v>579550000</v>
      </c>
      <c r="C25" s="342">
        <f>+B25</f>
        <v>579550000</v>
      </c>
      <c r="D25" s="342">
        <f t="shared" si="0"/>
        <v>0</v>
      </c>
      <c r="E25" s="342" t="s">
        <v>214</v>
      </c>
      <c r="F25" s="342">
        <f>-ROUND((D25*0.34),0)</f>
        <v>0</v>
      </c>
    </row>
    <row r="26" spans="1:6" hidden="1" outlineLevel="1" x14ac:dyDescent="0.2">
      <c r="A26" s="371" t="str">
        <f>+'BP 010120x1'!B24</f>
        <v>Activo biológico- costo</v>
      </c>
      <c r="B26" s="342">
        <f>+'BP 010120x1'!C24</f>
        <v>900326748</v>
      </c>
      <c r="C26" s="342">
        <f>+B26</f>
        <v>900326748</v>
      </c>
      <c r="D26" s="342">
        <f t="shared" si="0"/>
        <v>0</v>
      </c>
      <c r="E26" s="342"/>
      <c r="F26" s="342"/>
    </row>
    <row r="27" spans="1:6" hidden="1" outlineLevel="1" x14ac:dyDescent="0.2">
      <c r="A27" s="371" t="str">
        <f>+'BP 010120x1'!B25</f>
        <v>Activo biológico- ajuste al valor razonable</v>
      </c>
      <c r="B27" s="342">
        <f>+'BP 010120x1'!C25</f>
        <v>186379252</v>
      </c>
      <c r="C27" s="342">
        <v>0</v>
      </c>
      <c r="D27" s="342">
        <f t="shared" si="0"/>
        <v>186379252</v>
      </c>
      <c r="E27" s="342" t="s">
        <v>213</v>
      </c>
      <c r="F27" s="342">
        <f>-ROUND((D27*0.33),0)</f>
        <v>-61505153</v>
      </c>
    </row>
    <row r="28" spans="1:6" hidden="1" outlineLevel="1" x14ac:dyDescent="0.2">
      <c r="A28" s="371" t="str">
        <f>+'BP 010120x1'!B26</f>
        <v>Deterioro de inventarios</v>
      </c>
      <c r="B28" s="342">
        <f>+'BP 010120x1'!C26</f>
        <v>-14800000</v>
      </c>
      <c r="C28" s="342">
        <v>0</v>
      </c>
      <c r="D28" s="342">
        <f t="shared" si="0"/>
        <v>-14800000</v>
      </c>
      <c r="E28" s="342" t="s">
        <v>214</v>
      </c>
      <c r="F28" s="342">
        <f>-ROUND((D28*0.33),0)</f>
        <v>4884000</v>
      </c>
    </row>
    <row r="29" spans="1:6" hidden="1" outlineLevel="1" x14ac:dyDescent="0.2">
      <c r="A29" s="371" t="str">
        <f>+'BP 010120x1'!B27</f>
        <v>Terreno 1- Producción</v>
      </c>
      <c r="B29" s="342">
        <f>+'BP 010120x1'!C27</f>
        <v>650000000</v>
      </c>
      <c r="C29" s="342">
        <f>+B29</f>
        <v>650000000</v>
      </c>
      <c r="D29" s="342">
        <f t="shared" si="0"/>
        <v>0</v>
      </c>
      <c r="E29" s="342"/>
      <c r="F29" s="342"/>
    </row>
    <row r="30" spans="1:6" hidden="1" outlineLevel="1" x14ac:dyDescent="0.2">
      <c r="A30" s="371" t="str">
        <f>+'BP 010120x1'!B28</f>
        <v>Terreno, parqueadero</v>
      </c>
      <c r="B30" s="342">
        <f>+'BP 010120x1'!C28</f>
        <v>550000000</v>
      </c>
      <c r="C30" s="342">
        <f>+B30</f>
        <v>550000000</v>
      </c>
      <c r="D30" s="342">
        <f t="shared" si="0"/>
        <v>0</v>
      </c>
      <c r="E30" s="342"/>
      <c r="F30" s="342"/>
    </row>
    <row r="31" spans="1:6" hidden="1" outlineLevel="1" x14ac:dyDescent="0.2">
      <c r="A31" s="371" t="str">
        <f>+'BP 010120x1'!B29</f>
        <v>Terrenos ajustes NIIF</v>
      </c>
      <c r="B31" s="342">
        <f>+'BP 010120x1'!C29</f>
        <v>1450000000</v>
      </c>
      <c r="C31" s="342">
        <v>0</v>
      </c>
      <c r="D31" s="342">
        <f t="shared" si="0"/>
        <v>1450000000</v>
      </c>
      <c r="E31" s="342" t="s">
        <v>213</v>
      </c>
      <c r="F31" s="342">
        <f>-PPYE!H21-PPYE!H23</f>
        <v>-145000000</v>
      </c>
    </row>
    <row r="32" spans="1:6" hidden="1" outlineLevel="1" x14ac:dyDescent="0.2">
      <c r="A32" s="371" t="str">
        <f>+'BP 010120x1'!B30</f>
        <v xml:space="preserve">Edificación </v>
      </c>
      <c r="B32" s="342">
        <f>+'BP 010120x1'!C30</f>
        <v>2445000000</v>
      </c>
      <c r="C32" s="342">
        <f>+PPYE!D22</f>
        <v>978000000</v>
      </c>
      <c r="D32" s="342">
        <f t="shared" si="0"/>
        <v>1467000000</v>
      </c>
      <c r="E32" s="342" t="s">
        <v>213</v>
      </c>
      <c r="F32" s="342">
        <f>-PPYE!H22</f>
        <v>-410760000</v>
      </c>
    </row>
    <row r="33" spans="1:6" hidden="1" outlineLevel="1" x14ac:dyDescent="0.2">
      <c r="A33" s="371" t="str">
        <f>+'BP 010120x1'!B31</f>
        <v xml:space="preserve">Maquina </v>
      </c>
      <c r="B33" s="342">
        <f>+'BP 010120x1'!C31</f>
        <v>825265324</v>
      </c>
      <c r="C33" s="342">
        <f>+PPYE!D24</f>
        <v>412632662</v>
      </c>
      <c r="D33" s="342">
        <f t="shared" si="0"/>
        <v>412632662</v>
      </c>
      <c r="E33" s="342"/>
      <c r="F33" s="342">
        <f>-PPYE!H24</f>
        <v>0</v>
      </c>
    </row>
    <row r="34" spans="1:6" hidden="1" outlineLevel="1" x14ac:dyDescent="0.2">
      <c r="A34" s="371" t="str">
        <f>+'BP 010120x1'!B32</f>
        <v>Muebles y enseres</v>
      </c>
      <c r="B34" s="342">
        <f>+'BP 010120x1'!C32</f>
        <v>435050949</v>
      </c>
      <c r="C34" s="342">
        <f>+PPYE!D25</f>
        <v>174020380</v>
      </c>
      <c r="D34" s="342">
        <f t="shared" si="0"/>
        <v>261030569</v>
      </c>
      <c r="E34" s="342"/>
      <c r="F34" s="342">
        <f>-PPYE!H25</f>
        <v>0</v>
      </c>
    </row>
    <row r="35" spans="1:6" hidden="1" outlineLevel="1" x14ac:dyDescent="0.2">
      <c r="A35" s="371" t="str">
        <f>+'BP 010120x1'!B33</f>
        <v xml:space="preserve">Tractomula </v>
      </c>
      <c r="B35" s="342">
        <f>+'BP 010120x1'!C33</f>
        <v>245000000</v>
      </c>
      <c r="C35" s="342">
        <f>+PPYE!D26</f>
        <v>0</v>
      </c>
      <c r="D35" s="342">
        <f t="shared" si="0"/>
        <v>245000000</v>
      </c>
      <c r="E35" s="342" t="s">
        <v>213</v>
      </c>
      <c r="F35" s="342">
        <f>-PPYE!H26</f>
        <v>-47500000</v>
      </c>
    </row>
    <row r="36" spans="1:6" hidden="1" outlineLevel="1" x14ac:dyDescent="0.2">
      <c r="A36" s="371" t="str">
        <f>+'BP 010120x1'!B34</f>
        <v>Dep acumulada edificación</v>
      </c>
      <c r="B36" s="342">
        <f>+'BP 010120x1'!C34</f>
        <v>-1467000000</v>
      </c>
      <c r="C36" s="342"/>
      <c r="D36" s="342"/>
      <c r="E36" s="342"/>
      <c r="F36" s="342"/>
    </row>
    <row r="37" spans="1:6" hidden="1" outlineLevel="1" x14ac:dyDescent="0.2">
      <c r="A37" s="371" t="str">
        <f>+'BP 010120x1'!B35</f>
        <v>Dep acumulada edificación ajuste NIIF</v>
      </c>
      <c r="B37" s="342">
        <f>+'BP 010120x1'!C35</f>
        <v>1369200000</v>
      </c>
      <c r="C37" s="342"/>
      <c r="D37" s="342"/>
      <c r="E37" s="342"/>
      <c r="F37" s="342"/>
    </row>
    <row r="38" spans="1:6" hidden="1" outlineLevel="1" x14ac:dyDescent="0.2">
      <c r="A38" s="371" t="str">
        <f>+'BP 010120x1'!B36</f>
        <v>Dep acumulada maquinaria</v>
      </c>
      <c r="B38" s="342">
        <f>+'BP 010120x1'!C36</f>
        <v>-412632662</v>
      </c>
      <c r="C38" s="342"/>
      <c r="D38" s="342"/>
      <c r="E38" s="342"/>
      <c r="F38" s="342"/>
    </row>
    <row r="39" spans="1:6" hidden="1" outlineLevel="1" x14ac:dyDescent="0.2">
      <c r="A39" s="371" t="str">
        <f>+'BP 010120x1'!B37</f>
        <v>Dep acumulada enseres</v>
      </c>
      <c r="B39" s="342">
        <f>+'BP 010120x1'!C37</f>
        <v>-261030569</v>
      </c>
      <c r="C39" s="342"/>
      <c r="D39" s="342"/>
      <c r="E39" s="342"/>
      <c r="F39" s="342"/>
    </row>
    <row r="40" spans="1:6" hidden="1" outlineLevel="1" x14ac:dyDescent="0.2">
      <c r="A40" s="371" t="str">
        <f>+'BP 010120x1'!B38</f>
        <v>Dep acumulada tractomula</v>
      </c>
      <c r="B40" s="342">
        <f>+'BP 010120x1'!C38</f>
        <v>-245000000</v>
      </c>
      <c r="C40" s="342"/>
      <c r="D40" s="342"/>
      <c r="E40" s="342"/>
      <c r="F40" s="342"/>
    </row>
    <row r="41" spans="1:6" hidden="1" outlineLevel="1" x14ac:dyDescent="0.2">
      <c r="A41" s="371" t="str">
        <f>+'BP 010120x1'!B39</f>
        <v>Dep acumulada tractomula ajuste NIIF</v>
      </c>
      <c r="B41" s="342">
        <f>+'BP 010120x1'!C39</f>
        <v>158333333</v>
      </c>
      <c r="C41" s="342"/>
      <c r="D41" s="342"/>
      <c r="E41" s="342"/>
      <c r="F41" s="342"/>
    </row>
    <row r="42" spans="1:6" hidden="1" outlineLevel="1" x14ac:dyDescent="0.2">
      <c r="A42" s="371" t="str">
        <f>+'BP 010120x1'!B40</f>
        <v>Programa de contabilidad</v>
      </c>
      <c r="B42" s="342">
        <f>+'BP 010120x1'!C40</f>
        <v>65000000</v>
      </c>
      <c r="C42" s="342">
        <f>+B42</f>
        <v>65000000</v>
      </c>
      <c r="D42" s="342">
        <f t="shared" si="0"/>
        <v>0</v>
      </c>
      <c r="E42" s="342"/>
      <c r="F42" s="342"/>
    </row>
    <row r="43" spans="1:6" hidden="1" outlineLevel="1" x14ac:dyDescent="0.2">
      <c r="A43" s="371" t="str">
        <f>+'BP 010120x1'!B41</f>
        <v>Amortización</v>
      </c>
      <c r="B43" s="342">
        <f>+'BP 010120x1'!C41</f>
        <v>-39000000</v>
      </c>
      <c r="C43" s="342">
        <f>+B43</f>
        <v>-39000000</v>
      </c>
      <c r="D43" s="342">
        <f t="shared" si="0"/>
        <v>0</v>
      </c>
      <c r="E43" s="342"/>
      <c r="F43" s="342"/>
    </row>
    <row r="44" spans="1:6" hidden="1" outlineLevel="1" x14ac:dyDescent="0.2">
      <c r="A44" s="371" t="str">
        <f>+'BP 010120x1'!B42</f>
        <v>Suscripciones a revistas</v>
      </c>
      <c r="B44" s="342">
        <f>+'BP 010120x1'!C42</f>
        <v>13526000</v>
      </c>
      <c r="C44" s="342">
        <f>+B44</f>
        <v>13526000</v>
      </c>
      <c r="D44" s="342">
        <f t="shared" si="0"/>
        <v>0</v>
      </c>
      <c r="E44" s="342"/>
      <c r="F44" s="342">
        <f t="shared" ref="F44:F47" si="2">-ROUND((D44*0.34),0)</f>
        <v>0</v>
      </c>
    </row>
    <row r="45" spans="1:6" hidden="1" outlineLevel="1" x14ac:dyDescent="0.2">
      <c r="A45" s="371" t="str">
        <f>+'BP 010120x1'!B43</f>
        <v>Arrendamientos</v>
      </c>
      <c r="B45" s="342">
        <f>+'BP 010120x1'!C43</f>
        <v>7560000</v>
      </c>
      <c r="C45" s="342">
        <f t="shared" ref="C45:C46" si="3">+B45</f>
        <v>7560000</v>
      </c>
      <c r="D45" s="342">
        <f t="shared" si="0"/>
        <v>0</v>
      </c>
      <c r="E45" s="342"/>
      <c r="F45" s="342">
        <f t="shared" si="2"/>
        <v>0</v>
      </c>
    </row>
    <row r="46" spans="1:6" hidden="1" outlineLevel="1" x14ac:dyDescent="0.2">
      <c r="A46" s="371" t="str">
        <f>+'BP 010120x1'!B44</f>
        <v>Polizas de seguros</v>
      </c>
      <c r="B46" s="342">
        <f>+'BP 010120x1'!C44</f>
        <v>5500000</v>
      </c>
      <c r="C46" s="342">
        <f t="shared" si="3"/>
        <v>5500000</v>
      </c>
      <c r="D46" s="342">
        <f t="shared" si="0"/>
        <v>0</v>
      </c>
      <c r="E46" s="342"/>
      <c r="F46" s="342"/>
    </row>
    <row r="47" spans="1:6" hidden="1" outlineLevel="1" x14ac:dyDescent="0.2">
      <c r="A47" s="371" t="str">
        <f>+'BP 010120x1'!B45</f>
        <v>Propiedades de inversión</v>
      </c>
      <c r="B47" s="342">
        <f>+'BP 010120x1'!C45</f>
        <v>350000000</v>
      </c>
      <c r="C47" s="342">
        <f>+B47</f>
        <v>350000000</v>
      </c>
      <c r="D47" s="342">
        <f t="shared" si="0"/>
        <v>0</v>
      </c>
      <c r="E47" s="342"/>
      <c r="F47" s="342">
        <f t="shared" si="2"/>
        <v>0</v>
      </c>
    </row>
    <row r="48" spans="1:6" hidden="1" outlineLevel="1" x14ac:dyDescent="0.2">
      <c r="A48" s="371" t="str">
        <f>+'BP 010120x1'!B46</f>
        <v>Propiedades de inversión ajuste NIIF</v>
      </c>
      <c r="B48" s="342">
        <f>+'BP 010120x1'!C46</f>
        <v>850000000</v>
      </c>
      <c r="C48" s="342">
        <v>0</v>
      </c>
      <c r="D48" s="342">
        <f t="shared" si="0"/>
        <v>850000000</v>
      </c>
      <c r="E48" s="342" t="s">
        <v>213</v>
      </c>
      <c r="F48" s="342">
        <f>-D48*10%</f>
        <v>-85000000</v>
      </c>
    </row>
    <row r="49" spans="1:7" hidden="1" outlineLevel="1" x14ac:dyDescent="0.2">
      <c r="A49" s="371" t="str">
        <f>+'BP 010120x1'!B47</f>
        <v>Activo x impuestos diferidos</v>
      </c>
      <c r="B49" s="342">
        <f>+'BP 010120x1'!C47</f>
        <v>0</v>
      </c>
      <c r="C49" s="342"/>
      <c r="D49" s="342"/>
      <c r="E49" s="342"/>
      <c r="F49" s="342"/>
    </row>
    <row r="50" spans="1:7" hidden="1" outlineLevel="1" x14ac:dyDescent="0.2">
      <c r="A50" s="26" t="s">
        <v>54</v>
      </c>
      <c r="B50" s="266">
        <f>SUM(B8:B49)</f>
        <v>15230021079</v>
      </c>
      <c r="C50" s="266">
        <f>SUM(C8:C49)</f>
        <v>11149689403.779999</v>
      </c>
      <c r="D50" s="266">
        <f>SUM(D8:D49)</f>
        <v>4938461573.2200003</v>
      </c>
      <c r="E50" s="266">
        <f>SUM(E8:E49)</f>
        <v>0</v>
      </c>
      <c r="F50" s="343">
        <f>SUM(F8:F49)</f>
        <v>-730758199</v>
      </c>
      <c r="G50" s="242"/>
    </row>
    <row r="51" spans="1:7" hidden="1" outlineLevel="1" x14ac:dyDescent="0.2">
      <c r="B51" s="372">
        <f>+B50-'BP 010120x1'!C48</f>
        <v>0</v>
      </c>
      <c r="C51" s="357"/>
      <c r="D51" s="357"/>
      <c r="E51" s="357"/>
      <c r="F51" s="357"/>
      <c r="G51" s="242"/>
    </row>
    <row r="52" spans="1:7" hidden="1" outlineLevel="1" x14ac:dyDescent="0.2">
      <c r="A52" s="25" t="s">
        <v>17</v>
      </c>
      <c r="B52" s="373"/>
      <c r="C52" s="374"/>
      <c r="D52" s="374"/>
      <c r="E52" s="374"/>
      <c r="F52" s="374"/>
      <c r="G52" s="242"/>
    </row>
    <row r="53" spans="1:7" hidden="1" outlineLevel="1" x14ac:dyDescent="0.2">
      <c r="A53" s="371" t="str">
        <f>+'BP 010120x1'!B51</f>
        <v>Obligaciones financieras</v>
      </c>
      <c r="B53" s="342">
        <f>+'BP 010120x1'!C51</f>
        <v>2516527734.1461334</v>
      </c>
      <c r="C53" s="342">
        <f>+Pasivos!C10</f>
        <v>2585665169.2892494</v>
      </c>
      <c r="D53" s="342">
        <f t="shared" ref="D53:D64" si="4">+B53-C53</f>
        <v>-69137435.143115997</v>
      </c>
      <c r="E53" s="342" t="s">
        <v>213</v>
      </c>
      <c r="F53" s="342">
        <f>D53*33%</f>
        <v>-22815353.597228281</v>
      </c>
      <c r="G53" s="242"/>
    </row>
    <row r="54" spans="1:7" hidden="1" outlineLevel="1" x14ac:dyDescent="0.2">
      <c r="A54" s="371" t="str">
        <f>+'BP 010120x1'!B52</f>
        <v>Proveedores</v>
      </c>
      <c r="B54" s="342">
        <f>+'BP 010120x1'!C52</f>
        <v>652000000</v>
      </c>
      <c r="C54" s="342">
        <f>+B54-0</f>
        <v>652000000</v>
      </c>
      <c r="D54" s="342">
        <f t="shared" si="4"/>
        <v>0</v>
      </c>
      <c r="E54" s="342"/>
      <c r="F54" s="342"/>
      <c r="G54" s="242"/>
    </row>
    <row r="55" spans="1:7" hidden="1" outlineLevel="1" x14ac:dyDescent="0.2">
      <c r="A55" s="371" t="str">
        <f>+'BP 010120x1'!B53</f>
        <v>Retención en la fuente</v>
      </c>
      <c r="B55" s="342">
        <f>+'BP 010120x1'!C53</f>
        <v>26500000</v>
      </c>
      <c r="C55" s="342">
        <f>+B55-0</f>
        <v>26500000</v>
      </c>
      <c r="D55" s="342">
        <f t="shared" si="4"/>
        <v>0</v>
      </c>
      <c r="E55" s="342"/>
      <c r="F55" s="342"/>
      <c r="G55" s="242"/>
    </row>
    <row r="56" spans="1:7" hidden="1" outlineLevel="1" x14ac:dyDescent="0.2">
      <c r="A56" s="371" t="str">
        <f>+'BP 010120x1'!B54</f>
        <v>Parafiscales por pagar</v>
      </c>
      <c r="B56" s="342">
        <f>+'BP 010120x1'!C54</f>
        <v>36250000</v>
      </c>
      <c r="C56" s="342">
        <f>+B56</f>
        <v>36250000</v>
      </c>
      <c r="D56" s="342">
        <f t="shared" si="4"/>
        <v>0</v>
      </c>
      <c r="E56" s="342"/>
      <c r="F56" s="342"/>
      <c r="G56" s="242"/>
    </row>
    <row r="57" spans="1:7" hidden="1" outlineLevel="1" x14ac:dyDescent="0.2">
      <c r="A57" s="371" t="str">
        <f>+'BP 010120x1'!B55</f>
        <v>Aportes salud y ARL</v>
      </c>
      <c r="B57" s="342">
        <f>+'BP 010120x1'!C55</f>
        <v>63250000</v>
      </c>
      <c r="C57" s="342">
        <f t="shared" ref="C57:C62" si="5">+B57</f>
        <v>63250000</v>
      </c>
      <c r="D57" s="342">
        <f t="shared" si="4"/>
        <v>0</v>
      </c>
      <c r="E57" s="342"/>
      <c r="F57" s="342"/>
      <c r="G57" s="242"/>
    </row>
    <row r="58" spans="1:7" hidden="1" outlineLevel="1" x14ac:dyDescent="0.2">
      <c r="A58" s="371" t="str">
        <f>+'BP 010120x1'!B56</f>
        <v>Aportes pensión</v>
      </c>
      <c r="B58" s="342">
        <f>+'BP 010120x1'!C56</f>
        <v>176523000</v>
      </c>
      <c r="C58" s="342">
        <f t="shared" si="5"/>
        <v>176523000</v>
      </c>
      <c r="D58" s="342">
        <f t="shared" si="4"/>
        <v>0</v>
      </c>
      <c r="E58" s="342"/>
      <c r="F58" s="342"/>
      <c r="G58" s="242"/>
    </row>
    <row r="59" spans="1:7" hidden="1" outlineLevel="1" x14ac:dyDescent="0.2">
      <c r="A59" s="371" t="str">
        <f>+'BP 010120x1'!B57</f>
        <v>Impuesto de renta por pagar</v>
      </c>
      <c r="B59" s="342">
        <f>+'BP 010120x1'!C57</f>
        <v>125600000</v>
      </c>
      <c r="C59" s="342">
        <f t="shared" si="5"/>
        <v>125600000</v>
      </c>
      <c r="D59" s="342">
        <f t="shared" si="4"/>
        <v>0</v>
      </c>
      <c r="E59" s="342"/>
      <c r="F59" s="342"/>
      <c r="G59" s="242"/>
    </row>
    <row r="60" spans="1:7" hidden="1" outlineLevel="1" x14ac:dyDescent="0.2">
      <c r="A60" s="371" t="str">
        <f>+'BP 010120x1'!B58</f>
        <v>Industria y comercio por pagar</v>
      </c>
      <c r="B60" s="342">
        <f>+'BP 010120x1'!C58</f>
        <v>140000000</v>
      </c>
      <c r="C60" s="342">
        <f t="shared" si="5"/>
        <v>140000000</v>
      </c>
      <c r="D60" s="342">
        <f t="shared" si="4"/>
        <v>0</v>
      </c>
      <c r="E60" s="342"/>
      <c r="F60" s="342"/>
      <c r="G60" s="242"/>
    </row>
    <row r="61" spans="1:7" hidden="1" outlineLevel="1" x14ac:dyDescent="0.2">
      <c r="A61" s="371" t="str">
        <f>+'BP 010120x1'!B59</f>
        <v>Pasivos laborales</v>
      </c>
      <c r="B61" s="342">
        <f>+'BP 010120x1'!C59</f>
        <v>69622638</v>
      </c>
      <c r="C61" s="342">
        <f t="shared" si="5"/>
        <v>69622638</v>
      </c>
      <c r="D61" s="342">
        <f t="shared" si="4"/>
        <v>0</v>
      </c>
      <c r="E61" s="342"/>
      <c r="F61" s="342"/>
      <c r="G61" s="242"/>
    </row>
    <row r="62" spans="1:7" hidden="1" outlineLevel="1" x14ac:dyDescent="0.2">
      <c r="A62" s="371" t="str">
        <f>+'BP 010120x1'!B60</f>
        <v xml:space="preserve">Litigios y demandas </v>
      </c>
      <c r="B62" s="342">
        <f>+'BP 010120x1'!C60</f>
        <v>135078737</v>
      </c>
      <c r="C62" s="342">
        <f t="shared" si="5"/>
        <v>135078737</v>
      </c>
      <c r="D62" s="342">
        <f t="shared" si="4"/>
        <v>0</v>
      </c>
      <c r="E62" s="342"/>
      <c r="F62" s="342"/>
      <c r="G62" s="242"/>
    </row>
    <row r="63" spans="1:7" hidden="1" outlineLevel="1" x14ac:dyDescent="0.2">
      <c r="A63" s="371" t="str">
        <f>+'BP 010120x1'!B61</f>
        <v>Garantías</v>
      </c>
      <c r="B63" s="342">
        <f>+'BP 010120x1'!C61</f>
        <v>126000000</v>
      </c>
      <c r="C63" s="342">
        <v>0</v>
      </c>
      <c r="D63" s="342">
        <f t="shared" si="4"/>
        <v>126000000</v>
      </c>
      <c r="E63" s="342" t="s">
        <v>214</v>
      </c>
      <c r="F63" s="342">
        <f t="shared" ref="F63:F64" si="6">D63*33%</f>
        <v>41580000</v>
      </c>
      <c r="G63" s="242"/>
    </row>
    <row r="64" spans="1:7" hidden="1" outlineLevel="1" x14ac:dyDescent="0.2">
      <c r="A64" s="371" t="str">
        <f>+'BP 010120x1'!B62</f>
        <v>Derivados financieros</v>
      </c>
      <c r="B64" s="342">
        <f>+'BP 010120x1'!C62</f>
        <v>10052000</v>
      </c>
      <c r="C64" s="342">
        <v>0</v>
      </c>
      <c r="D64" s="342">
        <f t="shared" si="4"/>
        <v>10052000</v>
      </c>
      <c r="E64" s="342" t="s">
        <v>214</v>
      </c>
      <c r="F64" s="342">
        <f t="shared" si="6"/>
        <v>3317160</v>
      </c>
      <c r="G64" s="242"/>
    </row>
    <row r="65" spans="1:7" hidden="1" outlineLevel="1" x14ac:dyDescent="0.2">
      <c r="A65" s="371" t="str">
        <f>+'BP 010120x1'!B63</f>
        <v>Pasivos x impuestos diferidos</v>
      </c>
      <c r="B65" s="342">
        <f>+'BP 010120x1'!C63</f>
        <v>558693552.59722829</v>
      </c>
      <c r="C65" s="342">
        <f>+B65</f>
        <v>558693552.59722829</v>
      </c>
      <c r="D65" s="342"/>
      <c r="E65" s="342"/>
      <c r="F65" s="342"/>
      <c r="G65" s="242"/>
    </row>
    <row r="66" spans="1:7" hidden="1" outlineLevel="1" x14ac:dyDescent="0.2">
      <c r="A66" s="319" t="s">
        <v>55</v>
      </c>
      <c r="B66" s="320">
        <f>SUM(B53:B65)</f>
        <v>4636097661.7433615</v>
      </c>
      <c r="C66" s="320">
        <f>SUM(C53:C65)</f>
        <v>4569183096.8864775</v>
      </c>
      <c r="D66" s="320">
        <f>SUM(D53:D65)</f>
        <v>66914564.856884003</v>
      </c>
      <c r="E66" s="320"/>
      <c r="F66" s="343">
        <f>SUM(F53:F65)</f>
        <v>22081806.402771719</v>
      </c>
    </row>
    <row r="67" spans="1:7" hidden="1" outlineLevel="1" x14ac:dyDescent="0.2">
      <c r="B67" s="365">
        <f>+B66-'BP 010120x1'!C64</f>
        <v>0</v>
      </c>
      <c r="C67" s="268"/>
      <c r="D67" s="268"/>
      <c r="E67" s="268"/>
      <c r="F67" s="268"/>
    </row>
    <row r="68" spans="1:7" hidden="1" outlineLevel="1" x14ac:dyDescent="0.2">
      <c r="B68" s="268"/>
      <c r="C68" s="357"/>
      <c r="D68" s="268"/>
      <c r="E68" s="268"/>
      <c r="F68" s="268"/>
    </row>
    <row r="69" spans="1:7" hidden="1" outlineLevel="1" x14ac:dyDescent="0.2">
      <c r="A69" s="195" t="s">
        <v>70</v>
      </c>
      <c r="B69" s="342">
        <v>325126000</v>
      </c>
      <c r="C69" s="342"/>
      <c r="D69" s="342">
        <f>+B69</f>
        <v>325126000</v>
      </c>
      <c r="E69" s="379" t="s">
        <v>214</v>
      </c>
      <c r="F69" s="342">
        <f t="shared" ref="F69:F70" si="7">ROUND((D69*0.34),0)</f>
        <v>110542840</v>
      </c>
      <c r="G69" s="190" t="s">
        <v>0</v>
      </c>
    </row>
    <row r="70" spans="1:7" hidden="1" outlineLevel="1" x14ac:dyDescent="0.2">
      <c r="A70" s="195" t="s">
        <v>71</v>
      </c>
      <c r="B70" s="342">
        <v>116000000</v>
      </c>
      <c r="C70" s="342"/>
      <c r="D70" s="342">
        <f>+B70</f>
        <v>116000000</v>
      </c>
      <c r="E70" s="379" t="s">
        <v>214</v>
      </c>
      <c r="F70" s="342">
        <f t="shared" si="7"/>
        <v>39440000</v>
      </c>
      <c r="G70" s="190" t="s">
        <v>0</v>
      </c>
    </row>
    <row r="71" spans="1:7" hidden="1" outlineLevel="1" x14ac:dyDescent="0.2">
      <c r="B71" s="268"/>
      <c r="C71" s="357"/>
      <c r="D71" s="268"/>
      <c r="E71" s="268"/>
      <c r="F71" s="268"/>
    </row>
    <row r="72" spans="1:7" hidden="1" outlineLevel="1" x14ac:dyDescent="0.2">
      <c r="B72" s="357"/>
      <c r="C72" s="357"/>
    </row>
    <row r="73" spans="1:7" hidden="1" outlineLevel="1" x14ac:dyDescent="0.2">
      <c r="A73" s="25" t="s">
        <v>4</v>
      </c>
      <c r="B73" s="266"/>
      <c r="C73" s="266"/>
      <c r="D73" s="266"/>
      <c r="E73" s="266"/>
      <c r="F73" s="343">
        <f>+F50+F66+F69+F70</f>
        <v>-558693552.59722829</v>
      </c>
      <c r="G73" s="197"/>
    </row>
    <row r="74" spans="1:7" hidden="1" outlineLevel="1" x14ac:dyDescent="0.2">
      <c r="A74" s="15"/>
      <c r="B74" s="268"/>
      <c r="C74" s="268"/>
      <c r="D74" s="268"/>
      <c r="E74" s="268"/>
      <c r="F74" s="268"/>
      <c r="G74" s="197"/>
    </row>
    <row r="75" spans="1:7" hidden="1" outlineLevel="1" x14ac:dyDescent="0.2">
      <c r="F75" s="268"/>
      <c r="G75" s="197"/>
    </row>
    <row r="76" spans="1:7" collapsed="1" x14ac:dyDescent="0.2">
      <c r="F76" s="268"/>
      <c r="G76" s="197"/>
    </row>
    <row r="81" spans="1:255" x14ac:dyDescent="0.2">
      <c r="A81" s="191" t="s">
        <v>2157</v>
      </c>
      <c r="B81" s="192"/>
      <c r="C81" s="193"/>
      <c r="D81" s="193"/>
      <c r="E81" s="193"/>
      <c r="F81" s="192"/>
    </row>
    <row r="82" spans="1:255" x14ac:dyDescent="0.2">
      <c r="A82" s="192"/>
      <c r="B82" s="192"/>
      <c r="C82" s="193"/>
      <c r="D82" s="193"/>
      <c r="E82" s="193"/>
      <c r="F82" s="192"/>
    </row>
    <row r="83" spans="1:255" x14ac:dyDescent="0.2">
      <c r="A83" s="15"/>
    </row>
    <row r="84" spans="1:255" ht="25.5" hidden="1" outlineLevel="1" x14ac:dyDescent="0.2">
      <c r="A84" s="369" t="s">
        <v>36</v>
      </c>
      <c r="B84" s="369" t="s">
        <v>166</v>
      </c>
      <c r="C84" s="369" t="s">
        <v>271</v>
      </c>
      <c r="D84" s="369" t="s">
        <v>37</v>
      </c>
      <c r="E84" s="369" t="s">
        <v>410</v>
      </c>
      <c r="F84" s="369" t="s">
        <v>272</v>
      </c>
      <c r="G84" s="370" t="s">
        <v>60</v>
      </c>
      <c r="IU84" s="190" t="s">
        <v>213</v>
      </c>
    </row>
    <row r="85" spans="1:255" hidden="1" outlineLevel="1" x14ac:dyDescent="0.2">
      <c r="A85" s="371" t="str">
        <f>+'BP 311220x2'!B7</f>
        <v>Cuenta cte. Bancolombia</v>
      </c>
      <c r="B85" s="342">
        <f>+'BP 311220x2'!F7</f>
        <v>3742052742</v>
      </c>
      <c r="C85" s="342">
        <f>+B85</f>
        <v>3742052742</v>
      </c>
      <c r="D85" s="342">
        <f>+B85-C85</f>
        <v>0</v>
      </c>
      <c r="E85" s="342"/>
      <c r="F85" s="342"/>
    </row>
    <row r="86" spans="1:255" hidden="1" outlineLevel="1" x14ac:dyDescent="0.2">
      <c r="A86" s="371" t="str">
        <f>+'BP 311220x2'!B8</f>
        <v xml:space="preserve">Cta Banco Miami </v>
      </c>
      <c r="B86" s="342">
        <f>+'BP 311220x2'!F8</f>
        <v>49173000</v>
      </c>
      <c r="C86" s="342">
        <f>+B86</f>
        <v>49173000</v>
      </c>
      <c r="D86" s="342">
        <f>+C86-B86</f>
        <v>0</v>
      </c>
      <c r="E86" s="342"/>
      <c r="F86" s="342"/>
      <c r="H86" s="190" t="s">
        <v>123</v>
      </c>
      <c r="J86" s="229"/>
    </row>
    <row r="87" spans="1:255" hidden="1" outlineLevel="1" x14ac:dyDescent="0.2">
      <c r="A87" s="371" t="str">
        <f>+'BP 311220x2'!B9</f>
        <v>Carteras colectivas</v>
      </c>
      <c r="B87" s="342">
        <f>+'BP 311220x2'!F9</f>
        <v>127192000</v>
      </c>
      <c r="C87" s="342">
        <f>+B87</f>
        <v>127192000</v>
      </c>
      <c r="D87" s="342">
        <f>+C87-B87</f>
        <v>0</v>
      </c>
      <c r="E87" s="342"/>
      <c r="F87" s="342"/>
    </row>
    <row r="88" spans="1:255" hidden="1" outlineLevel="1" x14ac:dyDescent="0.2">
      <c r="A88" s="371" t="str">
        <f>+'BP 311220x2'!B10</f>
        <v>Cuenta cte. Banco Bogotá</v>
      </c>
      <c r="B88" s="342">
        <f>+'BP 311220x2'!F10</f>
        <v>112563000</v>
      </c>
      <c r="C88" s="342">
        <f>+B88</f>
        <v>112563000</v>
      </c>
      <c r="D88" s="342">
        <f>+B88-C88</f>
        <v>0</v>
      </c>
      <c r="E88" s="342"/>
      <c r="F88" s="342"/>
      <c r="H88" s="190" t="s">
        <v>124</v>
      </c>
    </row>
    <row r="89" spans="1:255" hidden="1" outlineLevel="1" x14ac:dyDescent="0.2">
      <c r="A89" s="371" t="str">
        <f>+'BP 311220x2'!B11</f>
        <v>Grupo Aval- preferencial (0.0094%)</v>
      </c>
      <c r="B89" s="342">
        <f>+'BP 311220x2'!F11</f>
        <v>325052000</v>
      </c>
      <c r="C89" s="342">
        <f>+B89</f>
        <v>325052000</v>
      </c>
      <c r="D89" s="342">
        <f>+B89-C89</f>
        <v>0</v>
      </c>
      <c r="E89" s="342"/>
      <c r="F89" s="342"/>
      <c r="H89" s="197"/>
      <c r="I89" s="229"/>
    </row>
    <row r="90" spans="1:255" hidden="1" outlineLevel="1" x14ac:dyDescent="0.2">
      <c r="A90" s="371" t="str">
        <f>+'BP 311220x2'!B12</f>
        <v>Grupo aval - ajustes al VR</v>
      </c>
      <c r="B90" s="342">
        <f>+'BP 311220x2'!F12</f>
        <v>139681080</v>
      </c>
      <c r="C90" s="342">
        <v>0</v>
      </c>
      <c r="D90" s="342">
        <f>+B90-C90</f>
        <v>139681080</v>
      </c>
      <c r="E90" s="342"/>
      <c r="F90" s="342"/>
      <c r="G90" s="190" t="s">
        <v>376</v>
      </c>
      <c r="I90" s="229"/>
    </row>
    <row r="91" spans="1:255" hidden="1" outlineLevel="1" x14ac:dyDescent="0.2">
      <c r="A91" s="371" t="str">
        <f>+'BP 311220x2'!B13</f>
        <v>Ecopetrol SA (0,000005%)</v>
      </c>
      <c r="B91" s="342">
        <f>+'BP 311220x2'!F13</f>
        <v>650000000</v>
      </c>
      <c r="C91" s="342">
        <f>+Acciones!F40</f>
        <v>650000000</v>
      </c>
      <c r="D91" s="342">
        <f>+B91-C91</f>
        <v>0</v>
      </c>
      <c r="E91" s="342"/>
      <c r="F91" s="342"/>
      <c r="H91" s="197"/>
      <c r="I91" s="229"/>
    </row>
    <row r="92" spans="1:255" hidden="1" outlineLevel="1" x14ac:dyDescent="0.2">
      <c r="A92" s="371" t="str">
        <f>+'BP 311220x2'!B14</f>
        <v>Ecopetrol - ajustes al VR</v>
      </c>
      <c r="B92" s="342">
        <f>+'BP 311220x2'!F14</f>
        <v>348214900</v>
      </c>
      <c r="C92" s="342">
        <v>0</v>
      </c>
      <c r="D92" s="342">
        <f t="shared" ref="D92:D128" si="8">+B92-C92</f>
        <v>348214900</v>
      </c>
      <c r="E92" s="342"/>
      <c r="F92" s="342"/>
      <c r="G92" s="190" t="s">
        <v>376</v>
      </c>
      <c r="H92" s="197"/>
      <c r="I92" s="229"/>
    </row>
    <row r="93" spans="1:255" hidden="1" outlineLevel="1" x14ac:dyDescent="0.2">
      <c r="A93" s="371" t="str">
        <f>+'BP 311220x2'!B15</f>
        <v>Construcciones Lvg SAS (40%)</v>
      </c>
      <c r="B93" s="342">
        <f>+'BP 311220x2'!F15</f>
        <v>1806700000</v>
      </c>
      <c r="C93" s="342">
        <f>+B93</f>
        <v>1806700000</v>
      </c>
      <c r="D93" s="342">
        <f t="shared" si="8"/>
        <v>0</v>
      </c>
      <c r="E93" s="342"/>
      <c r="F93" s="342"/>
      <c r="H93" s="197"/>
      <c r="I93" s="229"/>
    </row>
    <row r="94" spans="1:255" hidden="1" outlineLevel="1" x14ac:dyDescent="0.2">
      <c r="A94" s="371" t="str">
        <f>+'BP 311220x2'!B16</f>
        <v>Inversiones en CDT</v>
      </c>
      <c r="B94" s="342">
        <f>+'BP 311220x2'!F16</f>
        <v>1200000000</v>
      </c>
      <c r="C94" s="342">
        <f>+CDT!D20</f>
        <v>1200000000</v>
      </c>
      <c r="D94" s="342">
        <f t="shared" si="8"/>
        <v>0</v>
      </c>
      <c r="E94" s="342"/>
      <c r="F94" s="342">
        <f>-ROUND((D94*0.34),0)</f>
        <v>0</v>
      </c>
    </row>
    <row r="95" spans="1:255" hidden="1" outlineLevel="1" x14ac:dyDescent="0.2">
      <c r="A95" s="371" t="str">
        <f>+'BP 311220x2'!B17</f>
        <v>Derivados financieros</v>
      </c>
      <c r="B95" s="342">
        <f>+'BP 311220x2'!F17</f>
        <v>147051000</v>
      </c>
      <c r="C95" s="342">
        <v>0</v>
      </c>
      <c r="D95" s="342">
        <f t="shared" si="8"/>
        <v>147051000</v>
      </c>
      <c r="E95" s="342" t="s">
        <v>213</v>
      </c>
      <c r="F95" s="342">
        <f>-ROUND((D95*0.32),0)</f>
        <v>-47056320</v>
      </c>
      <c r="G95" s="330"/>
    </row>
    <row r="96" spans="1:255" hidden="1" outlineLevel="1" x14ac:dyDescent="0.2">
      <c r="A96" s="371" t="str">
        <f>+'BP 311220x2'!B18</f>
        <v>Cuentas por cobrar clientes</v>
      </c>
      <c r="B96" s="342">
        <f>+'BP 311220x2'!F18</f>
        <v>1751471156</v>
      </c>
      <c r="C96" s="342">
        <f t="shared" ref="C96:C102" si="9">+B96</f>
        <v>1751471156</v>
      </c>
      <c r="D96" s="342">
        <f t="shared" si="8"/>
        <v>0</v>
      </c>
      <c r="E96" s="342"/>
      <c r="F96" s="342"/>
      <c r="G96" s="330"/>
    </row>
    <row r="97" spans="1:7" hidden="1" outlineLevel="1" x14ac:dyDescent="0.2">
      <c r="A97" s="371" t="str">
        <f>+'BP 311220x2'!B19</f>
        <v>Préstamos a asociadas</v>
      </c>
      <c r="B97" s="342">
        <f>+'BP 311220x2'!F19</f>
        <v>45000000</v>
      </c>
      <c r="C97" s="342">
        <f t="shared" si="9"/>
        <v>45000000</v>
      </c>
      <c r="D97" s="342">
        <f t="shared" si="8"/>
        <v>0</v>
      </c>
      <c r="E97" s="342"/>
      <c r="F97" s="342"/>
      <c r="G97" s="330"/>
    </row>
    <row r="98" spans="1:7" hidden="1" outlineLevel="1" x14ac:dyDescent="0.2">
      <c r="A98" s="371" t="str">
        <f>+'BP 311220x2'!B20</f>
        <v xml:space="preserve">Avances para gastos de viaje </v>
      </c>
      <c r="B98" s="342">
        <f>+'BP 311220x2'!F20</f>
        <v>3150000</v>
      </c>
      <c r="C98" s="342">
        <f t="shared" si="9"/>
        <v>3150000</v>
      </c>
      <c r="D98" s="342">
        <f t="shared" si="8"/>
        <v>0</v>
      </c>
      <c r="E98" s="342"/>
      <c r="F98" s="342"/>
      <c r="G98" s="330"/>
    </row>
    <row r="99" spans="1:7" hidden="1" outlineLevel="1" x14ac:dyDescent="0.2">
      <c r="A99" s="371" t="str">
        <f>+'BP 311220x2'!B21</f>
        <v>Saldo a favor IVA</v>
      </c>
      <c r="B99" s="342">
        <f>+'BP 311220x2'!F21</f>
        <v>0</v>
      </c>
      <c r="C99" s="342">
        <f t="shared" si="9"/>
        <v>0</v>
      </c>
      <c r="D99" s="342">
        <f t="shared" si="8"/>
        <v>0</v>
      </c>
      <c r="E99" s="342"/>
      <c r="F99" s="342"/>
      <c r="G99" s="330"/>
    </row>
    <row r="100" spans="1:7" hidden="1" outlineLevel="1" x14ac:dyDescent="0.2">
      <c r="A100" s="371" t="str">
        <f>+'BP 311220x2'!B22</f>
        <v>Retenciones y autorretenciones</v>
      </c>
      <c r="B100" s="342">
        <f>+'BP 311220x2'!F22</f>
        <v>0</v>
      </c>
      <c r="C100" s="342">
        <f t="shared" si="9"/>
        <v>0</v>
      </c>
      <c r="D100" s="342">
        <f t="shared" si="8"/>
        <v>0</v>
      </c>
      <c r="E100" s="342"/>
      <c r="F100" s="342"/>
      <c r="G100" s="330"/>
    </row>
    <row r="101" spans="1:7" hidden="1" outlineLevel="1" x14ac:dyDescent="0.2">
      <c r="A101" s="371" t="str">
        <f>+'BP 311220x2'!B23</f>
        <v>Prestamos gerente</v>
      </c>
      <c r="B101" s="342">
        <f>+'BP 311220x2'!F23</f>
        <v>67500000</v>
      </c>
      <c r="C101" s="342">
        <f t="shared" si="9"/>
        <v>67500000</v>
      </c>
      <c r="D101" s="342">
        <f t="shared" si="8"/>
        <v>0</v>
      </c>
      <c r="E101" s="342"/>
      <c r="F101" s="342"/>
      <c r="G101" s="330"/>
    </row>
    <row r="102" spans="1:7" hidden="1" outlineLevel="1" x14ac:dyDescent="0.2">
      <c r="A102" s="371" t="str">
        <f>+'BP 311220x2'!B24</f>
        <v>Provisión- C x Cobrar fiscal</v>
      </c>
      <c r="B102" s="342">
        <f>+'BP 311220x2'!F24</f>
        <v>-456833344.63999999</v>
      </c>
      <c r="C102" s="342">
        <f t="shared" si="9"/>
        <v>-456833344.63999999</v>
      </c>
      <c r="D102" s="342">
        <f t="shared" si="8"/>
        <v>0</v>
      </c>
      <c r="E102" s="342"/>
      <c r="F102" s="342"/>
      <c r="G102" s="330"/>
    </row>
    <row r="103" spans="1:7" hidden="1" outlineLevel="1" x14ac:dyDescent="0.2">
      <c r="A103" s="371" t="str">
        <f>+'BP 311220x2'!B25</f>
        <v>Deterioro CXC - ajuste a NIIF</v>
      </c>
      <c r="B103" s="342">
        <f>+'BP 311220x2'!F25</f>
        <v>47131632.639999986</v>
      </c>
      <c r="C103" s="342">
        <v>0</v>
      </c>
      <c r="D103" s="342">
        <f t="shared" si="8"/>
        <v>47131632.639999986</v>
      </c>
      <c r="E103" s="342" t="s">
        <v>1116</v>
      </c>
      <c r="F103" s="342">
        <f>-ROUND((D103*0.32),0)</f>
        <v>-15082122</v>
      </c>
      <c r="G103" s="330"/>
    </row>
    <row r="104" spans="1:7" hidden="1" outlineLevel="1" x14ac:dyDescent="0.2">
      <c r="A104" s="371" t="str">
        <f>+'BP 311220x2'!B26</f>
        <v>Materia prima</v>
      </c>
      <c r="B104" s="342">
        <f>+'BP 311220x2'!F26</f>
        <v>579150000</v>
      </c>
      <c r="C104" s="342">
        <f>+B104</f>
        <v>579150000</v>
      </c>
      <c r="D104" s="342">
        <f t="shared" si="8"/>
        <v>0</v>
      </c>
      <c r="E104" s="342"/>
      <c r="F104" s="342">
        <f>-ROUND((D104*0.34),0)</f>
        <v>0</v>
      </c>
      <c r="G104" s="330"/>
    </row>
    <row r="105" spans="1:7" hidden="1" outlineLevel="1" x14ac:dyDescent="0.2">
      <c r="A105" s="371" t="str">
        <f>+'BP 311220x2'!B27</f>
        <v>Productos terminados</v>
      </c>
      <c r="B105" s="342">
        <f>+'BP 311220x2'!F27</f>
        <v>572030000</v>
      </c>
      <c r="C105" s="342">
        <f>+B105</f>
        <v>572030000</v>
      </c>
      <c r="D105" s="342">
        <f t="shared" si="8"/>
        <v>0</v>
      </c>
      <c r="E105" s="342"/>
      <c r="F105" s="342">
        <f t="shared" ref="F105:F106" si="10">-ROUND((D105*0.34),0)</f>
        <v>0</v>
      </c>
      <c r="G105" s="330"/>
    </row>
    <row r="106" spans="1:7" hidden="1" outlineLevel="1" x14ac:dyDescent="0.2">
      <c r="A106" s="371" t="str">
        <f>+'BP 311220x2'!B28</f>
        <v>Activo biológico- costo</v>
      </c>
      <c r="B106" s="342">
        <f>+'BP 311220x2'!F28</f>
        <v>1431326748</v>
      </c>
      <c r="C106" s="342">
        <f>+B106</f>
        <v>1431326748</v>
      </c>
      <c r="D106" s="342">
        <f t="shared" si="8"/>
        <v>0</v>
      </c>
      <c r="E106" s="342"/>
      <c r="F106" s="342">
        <f t="shared" si="10"/>
        <v>0</v>
      </c>
      <c r="G106" s="330"/>
    </row>
    <row r="107" spans="1:7" hidden="1" outlineLevel="1" x14ac:dyDescent="0.2">
      <c r="A107" s="371" t="str">
        <f>+'BP 311220x2'!B29</f>
        <v>Activo biológico- ajuste al valor razonable</v>
      </c>
      <c r="B107" s="342">
        <f>+'BP 311220x2'!F29</f>
        <v>267673252</v>
      </c>
      <c r="C107" s="342">
        <v>0</v>
      </c>
      <c r="D107" s="342">
        <f t="shared" si="8"/>
        <v>267673252</v>
      </c>
      <c r="E107" s="342" t="s">
        <v>213</v>
      </c>
      <c r="F107" s="342">
        <f>-ROUND((D107*0.32),0)</f>
        <v>-85655441</v>
      </c>
      <c r="G107" s="330"/>
    </row>
    <row r="108" spans="1:7" hidden="1" outlineLevel="1" x14ac:dyDescent="0.2">
      <c r="A108" s="371" t="str">
        <f>+'BP 311220x2'!B30</f>
        <v>Deterioro de inventarios</v>
      </c>
      <c r="B108" s="342">
        <f>+'BP 311220x2'!F30</f>
        <v>-25350000</v>
      </c>
      <c r="C108" s="342">
        <f>+Inventarios!F62</f>
        <v>0</v>
      </c>
      <c r="D108" s="342">
        <f t="shared" si="8"/>
        <v>-25350000</v>
      </c>
      <c r="E108" s="342" t="s">
        <v>214</v>
      </c>
      <c r="F108" s="342">
        <f>-ROUND((D108*0.32),0)</f>
        <v>8112000</v>
      </c>
      <c r="G108" s="330"/>
    </row>
    <row r="109" spans="1:7" hidden="1" outlineLevel="1" x14ac:dyDescent="0.2">
      <c r="A109" s="371" t="str">
        <f>+'BP 311220x2'!B31</f>
        <v>Terreno 1- Producción</v>
      </c>
      <c r="B109" s="342">
        <f>+'BP 311220x2'!F31</f>
        <v>650000000</v>
      </c>
      <c r="C109" s="342">
        <f>+B109</f>
        <v>650000000</v>
      </c>
      <c r="D109" s="342">
        <f t="shared" si="8"/>
        <v>0</v>
      </c>
      <c r="E109" s="342"/>
      <c r="F109" s="342"/>
      <c r="G109" s="330"/>
    </row>
    <row r="110" spans="1:7" hidden="1" outlineLevel="1" x14ac:dyDescent="0.2">
      <c r="A110" s="371" t="str">
        <f>+'BP 311220x2'!B32</f>
        <v>Terreno, parqueadero</v>
      </c>
      <c r="B110" s="342">
        <f>+'BP 311220x2'!F32</f>
        <v>550000000</v>
      </c>
      <c r="C110" s="342">
        <f>+B110</f>
        <v>550000000</v>
      </c>
      <c r="D110" s="342">
        <f t="shared" si="8"/>
        <v>0</v>
      </c>
      <c r="E110" s="342"/>
      <c r="F110" s="342"/>
      <c r="G110" s="330"/>
    </row>
    <row r="111" spans="1:7" hidden="1" outlineLevel="1" x14ac:dyDescent="0.2">
      <c r="A111" s="371" t="str">
        <f>+'BP 311220x2'!B33</f>
        <v>Terrenos ajustes NIIF</v>
      </c>
      <c r="B111" s="342">
        <f>+'BP 311220x2'!F33</f>
        <v>1450000000</v>
      </c>
      <c r="C111" s="342">
        <v>0</v>
      </c>
      <c r="D111" s="342">
        <f t="shared" si="8"/>
        <v>1450000000</v>
      </c>
      <c r="E111" s="342" t="s">
        <v>213</v>
      </c>
      <c r="F111" s="342">
        <f>-PPYE!H52-PPYE!H54</f>
        <v>-145000000</v>
      </c>
      <c r="G111" s="330"/>
    </row>
    <row r="112" spans="1:7" hidden="1" outlineLevel="1" x14ac:dyDescent="0.2">
      <c r="A112" s="371" t="str">
        <f>+'BP 311220x2'!B34</f>
        <v xml:space="preserve">Edificación </v>
      </c>
      <c r="B112" s="342">
        <f>+'BP 311220x2'!F34</f>
        <v>2445000000</v>
      </c>
      <c r="C112" s="342">
        <f>+B112</f>
        <v>2445000000</v>
      </c>
      <c r="D112" s="342">
        <f t="shared" si="8"/>
        <v>0</v>
      </c>
      <c r="E112" s="342"/>
      <c r="F112" s="342"/>
      <c r="G112" s="330"/>
    </row>
    <row r="113" spans="1:7" hidden="1" outlineLevel="1" x14ac:dyDescent="0.2">
      <c r="A113" s="371" t="str">
        <f>+'BP 311220x2'!B35</f>
        <v xml:space="preserve">Maquina </v>
      </c>
      <c r="B113" s="342">
        <f>+'BP 311220x2'!F35</f>
        <v>825265324</v>
      </c>
      <c r="C113" s="342">
        <f>+B113</f>
        <v>825265324</v>
      </c>
      <c r="D113" s="342">
        <f t="shared" si="8"/>
        <v>0</v>
      </c>
      <c r="E113" s="342"/>
      <c r="F113" s="342"/>
      <c r="G113" s="330"/>
    </row>
    <row r="114" spans="1:7" hidden="1" outlineLevel="1" x14ac:dyDescent="0.2">
      <c r="A114" s="371" t="str">
        <f>+'BP 311220x2'!B36</f>
        <v>Muebles y enseres</v>
      </c>
      <c r="B114" s="342">
        <f>+'BP 311220x2'!F36</f>
        <v>435050949</v>
      </c>
      <c r="C114" s="342">
        <f>+B114</f>
        <v>435050949</v>
      </c>
      <c r="D114" s="342">
        <f t="shared" si="8"/>
        <v>0</v>
      </c>
      <c r="E114" s="342"/>
      <c r="F114" s="342"/>
      <c r="G114" s="330"/>
    </row>
    <row r="115" spans="1:7" hidden="1" outlineLevel="1" x14ac:dyDescent="0.2">
      <c r="A115" s="371" t="str">
        <f>+'BP 311220x2'!B37</f>
        <v xml:space="preserve">Tractomula </v>
      </c>
      <c r="B115" s="342">
        <f>+'BP 311220x2'!F37</f>
        <v>245000000</v>
      </c>
      <c r="C115" s="342">
        <f>+B115</f>
        <v>245000000</v>
      </c>
      <c r="D115" s="342">
        <f t="shared" si="8"/>
        <v>0</v>
      </c>
      <c r="E115" s="342"/>
      <c r="F115" s="342"/>
      <c r="G115" s="330"/>
    </row>
    <row r="116" spans="1:7" hidden="1" outlineLevel="1" x14ac:dyDescent="0.2">
      <c r="A116" s="371" t="str">
        <f>+'BP 311220x2'!B38</f>
        <v>Dep acumulada edificación</v>
      </c>
      <c r="B116" s="342">
        <f>+'BP 311220x2'!F38</f>
        <v>-1589250000</v>
      </c>
      <c r="C116" s="342">
        <f>+B116</f>
        <v>-1589250000</v>
      </c>
      <c r="D116" s="342">
        <f t="shared" si="8"/>
        <v>0</v>
      </c>
      <c r="E116" s="342"/>
      <c r="F116" s="342"/>
      <c r="G116" s="330"/>
    </row>
    <row r="117" spans="1:7" hidden="1" outlineLevel="1" x14ac:dyDescent="0.2">
      <c r="A117" s="371" t="str">
        <f>+'BP 311220x2'!B39</f>
        <v>Dep acumulada edificación ajuste NIIF</v>
      </c>
      <c r="B117" s="342">
        <f>+'BP 311220x2'!F39</f>
        <v>1442550000</v>
      </c>
      <c r="C117" s="342">
        <v>0</v>
      </c>
      <c r="D117" s="342">
        <f t="shared" si="8"/>
        <v>1442550000</v>
      </c>
      <c r="E117" s="342" t="s">
        <v>213</v>
      </c>
      <c r="F117" s="342">
        <f>-PPYE!H53</f>
        <v>-432765000</v>
      </c>
      <c r="G117" s="330"/>
    </row>
    <row r="118" spans="1:7" hidden="1" outlineLevel="1" x14ac:dyDescent="0.2">
      <c r="A118" s="371" t="str">
        <f>+'BP 311220x2'!B40</f>
        <v>Dep acumulada maquinaria</v>
      </c>
      <c r="B118" s="342">
        <f>+'BP 311220x2'!F40</f>
        <v>-495159194</v>
      </c>
      <c r="C118" s="342">
        <f>+B118</f>
        <v>-495159194</v>
      </c>
      <c r="D118" s="342">
        <f t="shared" si="8"/>
        <v>0</v>
      </c>
      <c r="E118" s="342"/>
      <c r="F118" s="342"/>
      <c r="G118" s="330"/>
    </row>
    <row r="119" spans="1:7" hidden="1" outlineLevel="1" x14ac:dyDescent="0.2">
      <c r="A119" s="371" t="str">
        <f>+'BP 311220x2'!B41</f>
        <v>Dep acumulada enseres</v>
      </c>
      <c r="B119" s="342">
        <f>+'BP 311220x2'!F41</f>
        <v>-304535664</v>
      </c>
      <c r="C119" s="342">
        <f>+B119</f>
        <v>-304535664</v>
      </c>
      <c r="D119" s="342">
        <f t="shared" si="8"/>
        <v>0</v>
      </c>
      <c r="E119" s="342"/>
      <c r="F119" s="342"/>
      <c r="G119" s="330"/>
    </row>
    <row r="120" spans="1:7" hidden="1" outlineLevel="1" x14ac:dyDescent="0.2">
      <c r="A120" s="371" t="str">
        <f>+'BP 311220x2'!B42</f>
        <v>Dep acumulada tractomula</v>
      </c>
      <c r="B120" s="342">
        <f>+'BP 311220x2'!F42</f>
        <v>-245000000</v>
      </c>
      <c r="C120" s="342">
        <f>+B120</f>
        <v>-245000000</v>
      </c>
      <c r="D120" s="342">
        <f t="shared" si="8"/>
        <v>0</v>
      </c>
      <c r="E120" s="342"/>
      <c r="F120" s="342"/>
      <c r="G120" s="330"/>
    </row>
    <row r="121" spans="1:7" hidden="1" outlineLevel="1" x14ac:dyDescent="0.2">
      <c r="A121" s="371" t="str">
        <f>+'BP 311220x2'!B43</f>
        <v>Dep acumulada tractomula ajuste NIIF</v>
      </c>
      <c r="B121" s="342">
        <f>+'BP 311220x2'!F43</f>
        <v>152142857</v>
      </c>
      <c r="C121" s="342">
        <v>0</v>
      </c>
      <c r="D121" s="342">
        <f t="shared" si="8"/>
        <v>152142857</v>
      </c>
      <c r="E121" s="342" t="s">
        <v>213</v>
      </c>
      <c r="F121" s="342">
        <f>-PPYE!H57</f>
        <v>-45642857</v>
      </c>
      <c r="G121" s="330"/>
    </row>
    <row r="122" spans="1:7" hidden="1" outlineLevel="1" x14ac:dyDescent="0.2">
      <c r="A122" s="371" t="str">
        <f>+'BP 311220x2'!B44</f>
        <v>Programa de contabilidad</v>
      </c>
      <c r="B122" s="342">
        <f>+'BP 311220x2'!F44</f>
        <v>65000000</v>
      </c>
      <c r="C122" s="342">
        <f>+B122</f>
        <v>65000000</v>
      </c>
      <c r="D122" s="342">
        <f t="shared" si="8"/>
        <v>0</v>
      </c>
      <c r="E122" s="342"/>
      <c r="F122" s="342">
        <f t="shared" ref="F122" si="11">-ROUND((D122*0.34),0)</f>
        <v>0</v>
      </c>
      <c r="G122" s="330"/>
    </row>
    <row r="123" spans="1:7" hidden="1" outlineLevel="1" x14ac:dyDescent="0.2">
      <c r="A123" s="371" t="str">
        <f>+'BP 311220x2'!B45</f>
        <v>Amortización</v>
      </c>
      <c r="B123" s="342">
        <f>+'BP 311220x2'!F45</f>
        <v>-52000000</v>
      </c>
      <c r="C123" s="342">
        <f>+B123</f>
        <v>-52000000</v>
      </c>
      <c r="D123" s="342">
        <f t="shared" si="8"/>
        <v>0</v>
      </c>
      <c r="E123" s="342"/>
      <c r="F123" s="342"/>
      <c r="G123" s="330"/>
    </row>
    <row r="124" spans="1:7" hidden="1" outlineLevel="1" x14ac:dyDescent="0.2">
      <c r="A124" s="371" t="str">
        <f>+'BP 311220x2'!B46</f>
        <v>Suscripciones a revistas</v>
      </c>
      <c r="B124" s="342">
        <f>+'BP 311220x2'!F46</f>
        <v>7326000</v>
      </c>
      <c r="C124" s="342">
        <f>+B124</f>
        <v>7326000</v>
      </c>
      <c r="D124" s="342">
        <f t="shared" si="8"/>
        <v>0</v>
      </c>
      <c r="E124" s="342"/>
      <c r="F124" s="342"/>
      <c r="G124" s="330"/>
    </row>
    <row r="125" spans="1:7" hidden="1" outlineLevel="1" x14ac:dyDescent="0.2">
      <c r="A125" s="371" t="str">
        <f>+'BP 311220x2'!B47</f>
        <v>Arrendamientos</v>
      </c>
      <c r="B125" s="342">
        <f>+'BP 311220x2'!F47</f>
        <v>8352000</v>
      </c>
      <c r="C125" s="342">
        <f t="shared" ref="C125:C126" si="12">+B125</f>
        <v>8352000</v>
      </c>
      <c r="D125" s="342">
        <f t="shared" si="8"/>
        <v>0</v>
      </c>
      <c r="E125" s="342"/>
      <c r="F125" s="342"/>
      <c r="G125" s="330"/>
    </row>
    <row r="126" spans="1:7" hidden="1" outlineLevel="1" x14ac:dyDescent="0.2">
      <c r="A126" s="371" t="str">
        <f>+'BP 311220x2'!B48</f>
        <v>Polizas de seguros</v>
      </c>
      <c r="B126" s="342">
        <f>+'BP 311220x2'!F48</f>
        <v>6500000</v>
      </c>
      <c r="C126" s="342">
        <f t="shared" si="12"/>
        <v>6500000</v>
      </c>
      <c r="D126" s="342">
        <f t="shared" si="8"/>
        <v>0</v>
      </c>
      <c r="E126" s="342"/>
      <c r="F126" s="342"/>
      <c r="G126" s="330"/>
    </row>
    <row r="127" spans="1:7" hidden="1" outlineLevel="1" x14ac:dyDescent="0.2">
      <c r="A127" s="371" t="str">
        <f>+'BP 311220x2'!B49</f>
        <v>Propiedades de inversión</v>
      </c>
      <c r="B127" s="342">
        <f>+'BP 311220x2'!F49</f>
        <v>700000000</v>
      </c>
      <c r="C127" s="342">
        <f>+B127</f>
        <v>700000000</v>
      </c>
      <c r="D127" s="342">
        <f t="shared" si="8"/>
        <v>0</v>
      </c>
      <c r="E127" s="342"/>
      <c r="F127" s="342"/>
      <c r="G127" s="330"/>
    </row>
    <row r="128" spans="1:7" hidden="1" outlineLevel="1" x14ac:dyDescent="0.2">
      <c r="A128" s="371" t="str">
        <f>+'BP 311220x2'!B50</f>
        <v>Propiedades de inversión ajuste NIIF</v>
      </c>
      <c r="B128" s="342">
        <f>+'BP 311220x2'!F50</f>
        <v>1145000000</v>
      </c>
      <c r="C128" s="342">
        <v>0</v>
      </c>
      <c r="D128" s="342">
        <f t="shared" si="8"/>
        <v>1145000000</v>
      </c>
      <c r="E128" s="342" t="s">
        <v>213</v>
      </c>
      <c r="F128" s="342">
        <f>-D128*10%</f>
        <v>-114500000</v>
      </c>
      <c r="G128" s="330"/>
    </row>
    <row r="129" spans="1:7" hidden="1" outlineLevel="1" x14ac:dyDescent="0.2">
      <c r="A129" s="371" t="str">
        <f>+'BP 311220x2'!B51</f>
        <v>Activo x impuestos diferidos</v>
      </c>
      <c r="B129" s="342">
        <f>+'BP 311220x2'!F51</f>
        <v>0</v>
      </c>
      <c r="C129" s="342"/>
      <c r="D129" s="342"/>
      <c r="E129" s="342"/>
      <c r="F129" s="342"/>
      <c r="G129" s="330"/>
    </row>
    <row r="130" spans="1:7" hidden="1" outlineLevel="1" x14ac:dyDescent="0.2">
      <c r="A130" s="26" t="s">
        <v>54</v>
      </c>
      <c r="B130" s="266">
        <f>SUM(B85:B129)</f>
        <v>20371171438</v>
      </c>
      <c r="C130" s="266">
        <f>SUM(C85:C129)</f>
        <v>15257076716.360001</v>
      </c>
      <c r="D130" s="266">
        <f>SUM(D85:D129)</f>
        <v>5114094721.6399994</v>
      </c>
      <c r="E130" s="266">
        <f>SUM(E85:E129)</f>
        <v>0</v>
      </c>
      <c r="F130" s="343">
        <f>SUM(F85:F129)</f>
        <v>-877589740</v>
      </c>
      <c r="G130" s="242"/>
    </row>
    <row r="131" spans="1:7" hidden="1" outlineLevel="1" x14ac:dyDescent="0.2">
      <c r="B131" s="372">
        <f>+B130-'BP 311220x2'!F52</f>
        <v>0</v>
      </c>
      <c r="C131" s="357"/>
      <c r="D131" s="357"/>
      <c r="E131" s="357"/>
      <c r="F131" s="357"/>
      <c r="G131" s="242"/>
    </row>
    <row r="132" spans="1:7" hidden="1" outlineLevel="1" x14ac:dyDescent="0.2">
      <c r="A132" s="25" t="s">
        <v>17</v>
      </c>
      <c r="B132" s="373"/>
      <c r="C132" s="374"/>
      <c r="D132" s="374"/>
      <c r="E132" s="374"/>
      <c r="F132" s="374"/>
      <c r="G132" s="242"/>
    </row>
    <row r="133" spans="1:7" hidden="1" outlineLevel="1" x14ac:dyDescent="0.2">
      <c r="A133" s="371" t="str">
        <f>+'BP 311220x2'!B55</f>
        <v>Obligaciones financieras</v>
      </c>
      <c r="B133" s="342">
        <f>+'BP 311220x2'!F55</f>
        <v>1999891090.1461334</v>
      </c>
      <c r="C133" s="342">
        <f>+Pasivos!C55</f>
        <v>2044654975.1177564</v>
      </c>
      <c r="D133" s="342">
        <f t="shared" ref="D133:D145" si="13">+B133-C133</f>
        <v>-44763884.971622944</v>
      </c>
      <c r="E133" s="342" t="s">
        <v>213</v>
      </c>
      <c r="F133" s="342">
        <f>D133*32%</f>
        <v>-14324443.190919342</v>
      </c>
      <c r="G133" s="242"/>
    </row>
    <row r="134" spans="1:7" hidden="1" outlineLevel="1" x14ac:dyDescent="0.2">
      <c r="A134" s="371" t="str">
        <f>+'BP 311220x2'!B56</f>
        <v>Proveedores</v>
      </c>
      <c r="B134" s="342">
        <f>+'BP 311220x2'!F56</f>
        <v>612345768</v>
      </c>
      <c r="C134" s="342">
        <f>+B134-0</f>
        <v>612345768</v>
      </c>
      <c r="D134" s="342">
        <f t="shared" si="13"/>
        <v>0</v>
      </c>
      <c r="E134" s="342"/>
      <c r="F134" s="342"/>
      <c r="G134" s="242"/>
    </row>
    <row r="135" spans="1:7" hidden="1" outlineLevel="1" x14ac:dyDescent="0.2">
      <c r="A135" s="371" t="str">
        <f>+'BP 311220x2'!B57</f>
        <v>Retención en la fuente</v>
      </c>
      <c r="B135" s="342">
        <f>+'BP 311220x2'!F57</f>
        <v>12543000</v>
      </c>
      <c r="C135" s="342">
        <f>+B135-0</f>
        <v>12543000</v>
      </c>
      <c r="D135" s="342">
        <f t="shared" si="13"/>
        <v>0</v>
      </c>
      <c r="E135" s="342"/>
      <c r="F135" s="342"/>
      <c r="G135" s="242"/>
    </row>
    <row r="136" spans="1:7" hidden="1" outlineLevel="1" x14ac:dyDescent="0.2">
      <c r="A136" s="371" t="str">
        <f>+'BP 311220x2'!B58</f>
        <v>Parafiscales por pagar</v>
      </c>
      <c r="B136" s="342">
        <f>+'BP 311220x2'!F58</f>
        <v>37876000</v>
      </c>
      <c r="C136" s="342">
        <f>+B136</f>
        <v>37876000</v>
      </c>
      <c r="D136" s="342">
        <f t="shared" si="13"/>
        <v>0</v>
      </c>
      <c r="E136" s="342"/>
      <c r="F136" s="342"/>
      <c r="G136" s="242"/>
    </row>
    <row r="137" spans="1:7" hidden="1" outlineLevel="1" x14ac:dyDescent="0.2">
      <c r="A137" s="371" t="str">
        <f>+'BP 311220x2'!B59</f>
        <v>Aportes salud y ARL</v>
      </c>
      <c r="B137" s="342">
        <f>+'BP 311220x2'!F59</f>
        <v>58765000</v>
      </c>
      <c r="C137" s="342">
        <f t="shared" ref="C137:C143" si="14">+B137</f>
        <v>58765000</v>
      </c>
      <c r="D137" s="342">
        <f t="shared" si="13"/>
        <v>0</v>
      </c>
      <c r="E137" s="342"/>
      <c r="F137" s="342"/>
      <c r="G137" s="242"/>
    </row>
    <row r="138" spans="1:7" hidden="1" outlineLevel="1" x14ac:dyDescent="0.2">
      <c r="A138" s="371" t="str">
        <f>+'BP 311220x2'!B60</f>
        <v>Aportes pensión</v>
      </c>
      <c r="B138" s="342">
        <f>+'BP 311220x2'!F60</f>
        <v>174654000</v>
      </c>
      <c r="C138" s="342">
        <f t="shared" si="14"/>
        <v>174654000</v>
      </c>
      <c r="D138" s="342">
        <f t="shared" si="13"/>
        <v>0</v>
      </c>
      <c r="E138" s="342"/>
      <c r="F138" s="342"/>
      <c r="G138" s="242"/>
    </row>
    <row r="139" spans="1:7" hidden="1" outlineLevel="1" x14ac:dyDescent="0.2">
      <c r="A139" s="371" t="str">
        <f>+'BP 311220x2'!B61</f>
        <v>Impuesto de renta por pagar</v>
      </c>
      <c r="B139" s="342">
        <f>+'BP 311220x2'!F61</f>
        <v>1148433000</v>
      </c>
      <c r="C139" s="342">
        <f t="shared" si="14"/>
        <v>1148433000</v>
      </c>
      <c r="D139" s="342">
        <f t="shared" si="13"/>
        <v>0</v>
      </c>
      <c r="E139" s="342"/>
      <c r="F139" s="342"/>
      <c r="G139" s="242"/>
    </row>
    <row r="140" spans="1:7" hidden="1" outlineLevel="1" x14ac:dyDescent="0.2">
      <c r="A140" s="371" t="str">
        <f>+'BP 311220x2'!B62</f>
        <v>Impuesto sobre las ventas - IVA</v>
      </c>
      <c r="B140" s="342">
        <f>+'BP 311220x2'!F62</f>
        <v>482250000</v>
      </c>
      <c r="C140" s="342">
        <f t="shared" si="14"/>
        <v>482250000</v>
      </c>
      <c r="D140" s="342">
        <f t="shared" si="13"/>
        <v>0</v>
      </c>
      <c r="E140" s="342"/>
      <c r="F140" s="342"/>
      <c r="G140" s="242"/>
    </row>
    <row r="141" spans="1:7" hidden="1" outlineLevel="1" x14ac:dyDescent="0.2">
      <c r="A141" s="371" t="str">
        <f>+'BP 311220x2'!B63</f>
        <v>Industria y comercio por pagar</v>
      </c>
      <c r="B141" s="342">
        <f>+'BP 311220x2'!F63</f>
        <v>263254320</v>
      </c>
      <c r="C141" s="342">
        <f t="shared" si="14"/>
        <v>263254320</v>
      </c>
      <c r="D141" s="342">
        <f t="shared" si="13"/>
        <v>0</v>
      </c>
      <c r="E141" s="342"/>
      <c r="F141" s="342"/>
      <c r="G141" s="242"/>
    </row>
    <row r="142" spans="1:7" hidden="1" outlineLevel="1" x14ac:dyDescent="0.2">
      <c r="A142" s="371" t="str">
        <f>+'BP 311220x2'!B64</f>
        <v>Pasivos laborales</v>
      </c>
      <c r="B142" s="342">
        <f>+'BP 311220x2'!F64</f>
        <v>75453678</v>
      </c>
      <c r="C142" s="342">
        <f t="shared" si="14"/>
        <v>75453678</v>
      </c>
      <c r="D142" s="342">
        <f t="shared" si="13"/>
        <v>0</v>
      </c>
      <c r="E142" s="342"/>
      <c r="F142" s="342"/>
      <c r="G142" s="242"/>
    </row>
    <row r="143" spans="1:7" hidden="1" outlineLevel="1" x14ac:dyDescent="0.2">
      <c r="A143" s="371" t="str">
        <f>+'BP 311220x2'!B65</f>
        <v xml:space="preserve">Litigios y demandas </v>
      </c>
      <c r="B143" s="342">
        <f>+'BP 311220x2'!F65</f>
        <v>139385828</v>
      </c>
      <c r="C143" s="342">
        <f t="shared" si="14"/>
        <v>139385828</v>
      </c>
      <c r="D143" s="342">
        <f t="shared" si="13"/>
        <v>0</v>
      </c>
      <c r="E143" s="342"/>
      <c r="F143" s="342"/>
      <c r="G143" s="242"/>
    </row>
    <row r="144" spans="1:7" hidden="1" outlineLevel="1" x14ac:dyDescent="0.2">
      <c r="A144" s="371" t="str">
        <f>+'BP 311220x2'!B66</f>
        <v>Garantías</v>
      </c>
      <c r="B144" s="342">
        <f>+'BP 311220x2'!F66</f>
        <v>129560000</v>
      </c>
      <c r="C144" s="342">
        <v>0</v>
      </c>
      <c r="D144" s="342">
        <f t="shared" si="13"/>
        <v>129560000</v>
      </c>
      <c r="E144" s="342" t="s">
        <v>214</v>
      </c>
      <c r="F144" s="342">
        <f t="shared" ref="F144:F145" si="15">D144*32%</f>
        <v>41459200</v>
      </c>
      <c r="G144" s="242"/>
    </row>
    <row r="145" spans="1:7" hidden="1" outlineLevel="1" x14ac:dyDescent="0.2">
      <c r="A145" s="371" t="str">
        <f>+'BP 311220x2'!B67</f>
        <v>Derivados financieros</v>
      </c>
      <c r="B145" s="342">
        <f>+'BP 311220x2'!F67</f>
        <v>5052000</v>
      </c>
      <c r="C145" s="342">
        <f>+B145-B145</f>
        <v>0</v>
      </c>
      <c r="D145" s="342">
        <f t="shared" si="13"/>
        <v>5052000</v>
      </c>
      <c r="E145" s="342" t="s">
        <v>214</v>
      </c>
      <c r="F145" s="342">
        <f t="shared" si="15"/>
        <v>1616640</v>
      </c>
      <c r="G145" s="242"/>
    </row>
    <row r="146" spans="1:7" hidden="1" outlineLevel="1" x14ac:dyDescent="0.2">
      <c r="A146" s="371" t="str">
        <f>+'BP 311220x2'!B68</f>
        <v>Pasivos x impuestos diferidos</v>
      </c>
      <c r="B146" s="342">
        <f>+'BP 311220x2'!F68</f>
        <v>848838343.1909194</v>
      </c>
      <c r="C146" s="342"/>
      <c r="D146" s="342"/>
      <c r="E146" s="342"/>
      <c r="F146" s="342"/>
      <c r="G146" s="242"/>
    </row>
    <row r="147" spans="1:7" hidden="1" outlineLevel="1" x14ac:dyDescent="0.2">
      <c r="A147" s="319" t="s">
        <v>55</v>
      </c>
      <c r="B147" s="380">
        <f>SUM(B133:B146)</f>
        <v>5988302027.3370533</v>
      </c>
      <c r="C147" s="380">
        <f>SUM(C133:C146)</f>
        <v>5049615569.1177559</v>
      </c>
      <c r="D147" s="380">
        <f>SUM(D133:D146)</f>
        <v>89848115.028377056</v>
      </c>
      <c r="E147" s="380"/>
      <c r="F147" s="380">
        <f>SUM(F133:F146)</f>
        <v>28751396.80908066</v>
      </c>
    </row>
    <row r="148" spans="1:7" hidden="1" outlineLevel="1" x14ac:dyDescent="0.2">
      <c r="B148" s="365">
        <f>+B147-'BP 311220x2'!F69</f>
        <v>0</v>
      </c>
      <c r="C148" s="268"/>
      <c r="D148" s="268"/>
      <c r="E148" s="268"/>
      <c r="F148" s="268"/>
    </row>
    <row r="149" spans="1:7" hidden="1" outlineLevel="1" x14ac:dyDescent="0.2">
      <c r="B149" s="268"/>
      <c r="C149" s="357"/>
      <c r="D149" s="268"/>
      <c r="E149" s="268"/>
      <c r="F149" s="268"/>
    </row>
    <row r="150" spans="1:7" hidden="1" outlineLevel="1" x14ac:dyDescent="0.2">
      <c r="A150" s="195" t="s">
        <v>70</v>
      </c>
      <c r="B150" s="196">
        <v>0</v>
      </c>
      <c r="C150" s="196"/>
      <c r="D150" s="320">
        <f>+B150</f>
        <v>0</v>
      </c>
      <c r="E150" s="196" t="s">
        <v>214</v>
      </c>
      <c r="F150" s="196">
        <f>+D150*34%</f>
        <v>0</v>
      </c>
      <c r="G150" s="190" t="s">
        <v>0</v>
      </c>
    </row>
    <row r="151" spans="1:7" hidden="1" outlineLevel="1" x14ac:dyDescent="0.2">
      <c r="A151" s="195" t="s">
        <v>71</v>
      </c>
      <c r="B151" s="196">
        <v>0</v>
      </c>
      <c r="C151" s="196"/>
      <c r="D151" s="320">
        <f>+B151</f>
        <v>0</v>
      </c>
      <c r="E151" s="196" t="s">
        <v>214</v>
      </c>
      <c r="F151" s="196">
        <f>+D151*34%</f>
        <v>0</v>
      </c>
      <c r="G151" s="190" t="s">
        <v>0</v>
      </c>
    </row>
    <row r="152" spans="1:7" hidden="1" outlineLevel="1" x14ac:dyDescent="0.2">
      <c r="B152" s="268"/>
      <c r="C152" s="357"/>
      <c r="D152" s="268"/>
      <c r="E152" s="268"/>
      <c r="F152" s="268"/>
    </row>
    <row r="153" spans="1:7" hidden="1" outlineLevel="1" x14ac:dyDescent="0.2">
      <c r="B153" s="357"/>
      <c r="C153" s="357"/>
    </row>
    <row r="154" spans="1:7" hidden="1" outlineLevel="1" x14ac:dyDescent="0.2">
      <c r="A154" s="25" t="s">
        <v>4</v>
      </c>
      <c r="B154" s="266"/>
      <c r="C154" s="266"/>
      <c r="D154" s="266"/>
      <c r="E154" s="266"/>
      <c r="F154" s="343">
        <f>+F130+F147+F150+F151</f>
        <v>-848838343.1909194</v>
      </c>
      <c r="G154" s="197"/>
    </row>
    <row r="155" spans="1:7" hidden="1" outlineLevel="1" x14ac:dyDescent="0.2">
      <c r="A155" s="15"/>
      <c r="B155" s="268"/>
      <c r="C155" s="268"/>
      <c r="D155" s="268"/>
      <c r="E155" s="268"/>
      <c r="F155" s="268"/>
      <c r="G155" s="197"/>
    </row>
    <row r="156" spans="1:7" collapsed="1" x14ac:dyDescent="0.2"/>
    <row r="159" spans="1:7" x14ac:dyDescent="0.2">
      <c r="A159" s="191" t="s">
        <v>2158</v>
      </c>
      <c r="B159" s="192"/>
      <c r="C159" s="193"/>
      <c r="D159" s="193"/>
      <c r="E159" s="193"/>
      <c r="F159" s="192"/>
    </row>
    <row r="160" spans="1:7" x14ac:dyDescent="0.2">
      <c r="A160" s="192"/>
      <c r="B160" s="192"/>
      <c r="C160" s="193"/>
      <c r="D160" s="193"/>
      <c r="E160" s="193"/>
      <c r="F160" s="192"/>
    </row>
    <row r="161" spans="1:255" x14ac:dyDescent="0.2">
      <c r="A161" s="15"/>
    </row>
    <row r="162" spans="1:255" ht="38.25" outlineLevel="1" x14ac:dyDescent="0.2">
      <c r="A162" s="369" t="s">
        <v>36</v>
      </c>
      <c r="B162" s="369" t="s">
        <v>166</v>
      </c>
      <c r="C162" s="369" t="s">
        <v>271</v>
      </c>
      <c r="D162" s="369" t="s">
        <v>37</v>
      </c>
      <c r="E162" s="369" t="s">
        <v>167</v>
      </c>
      <c r="F162" s="369" t="s">
        <v>272</v>
      </c>
      <c r="G162" s="370" t="s">
        <v>60</v>
      </c>
      <c r="IU162" s="190" t="s">
        <v>213</v>
      </c>
    </row>
    <row r="163" spans="1:255" outlineLevel="1" x14ac:dyDescent="0.2">
      <c r="A163" s="371" t="str">
        <f>+'BP 311220x3'!B7</f>
        <v>Cuenta cte. Bancolombia</v>
      </c>
      <c r="B163" s="342">
        <f>+'BP 311220x3'!F7</f>
        <v>8431387839</v>
      </c>
      <c r="C163" s="342"/>
      <c r="D163" s="342"/>
      <c r="E163" s="342"/>
      <c r="F163" s="342"/>
    </row>
    <row r="164" spans="1:255" outlineLevel="1" x14ac:dyDescent="0.2">
      <c r="A164" s="371" t="str">
        <f>+'BP 311220x3'!B8</f>
        <v xml:space="preserve">Cta Banco Miami </v>
      </c>
      <c r="B164" s="342">
        <f>+'BP 311220x3'!F8</f>
        <v>60807000</v>
      </c>
      <c r="C164" s="342"/>
      <c r="D164" s="342"/>
      <c r="E164" s="342"/>
      <c r="F164" s="342"/>
      <c r="H164" s="190" t="s">
        <v>123</v>
      </c>
      <c r="J164" s="229"/>
      <c r="K164" s="190" t="s">
        <v>2111</v>
      </c>
      <c r="L164" s="190" t="s">
        <v>953</v>
      </c>
    </row>
    <row r="165" spans="1:255" outlineLevel="1" x14ac:dyDescent="0.2">
      <c r="A165" s="371" t="str">
        <f>+'BP 311220x3'!B9</f>
        <v>Carteras colectivas</v>
      </c>
      <c r="B165" s="342">
        <f>+'BP 311220x3'!F9</f>
        <v>128337000</v>
      </c>
      <c r="C165" s="342"/>
      <c r="D165" s="342"/>
      <c r="E165" s="342"/>
      <c r="F165" s="342"/>
      <c r="K165" s="190" t="s">
        <v>2112</v>
      </c>
      <c r="L165" s="190" t="s">
        <v>2113</v>
      </c>
    </row>
    <row r="166" spans="1:255" outlineLevel="1" x14ac:dyDescent="0.2">
      <c r="A166" s="371" t="str">
        <f>+'BP 311220x3'!B10</f>
        <v>Cuenta cte. Banco Bogotá</v>
      </c>
      <c r="B166" s="342">
        <f>+'BP 311220x3'!F10</f>
        <v>17586000</v>
      </c>
      <c r="C166" s="342"/>
      <c r="D166" s="342"/>
      <c r="E166" s="342"/>
      <c r="F166" s="342"/>
      <c r="H166" s="190" t="s">
        <v>124</v>
      </c>
      <c r="K166" s="190" t="s">
        <v>2114</v>
      </c>
      <c r="L166" s="190" t="s">
        <v>2113</v>
      </c>
    </row>
    <row r="167" spans="1:255" outlineLevel="1" x14ac:dyDescent="0.2">
      <c r="A167" s="371" t="str">
        <f>+'BP 311220x3'!B11</f>
        <v>Grupo Aval- preferencial (0.0094%)</v>
      </c>
      <c r="B167" s="342">
        <f>+'BP 311220x3'!F11</f>
        <v>325052000</v>
      </c>
      <c r="C167" s="342"/>
      <c r="D167" s="342"/>
      <c r="E167" s="342"/>
      <c r="F167" s="342"/>
      <c r="H167" s="197"/>
      <c r="I167" s="229"/>
      <c r="K167" s="190" t="s">
        <v>2115</v>
      </c>
      <c r="L167" s="190" t="s">
        <v>953</v>
      </c>
    </row>
    <row r="168" spans="1:255" outlineLevel="1" x14ac:dyDescent="0.2">
      <c r="A168" s="371" t="str">
        <f>+'BP 311220x3'!B12</f>
        <v>Grupo aval - ajustes al VR</v>
      </c>
      <c r="B168" s="342">
        <f>+'BP 311220x3'!F12</f>
        <v>117488770</v>
      </c>
      <c r="C168" s="342"/>
      <c r="D168" s="342"/>
      <c r="E168" s="342"/>
      <c r="F168" s="342"/>
      <c r="G168" s="190" t="s">
        <v>2110</v>
      </c>
      <c r="I168" s="229"/>
    </row>
    <row r="169" spans="1:255" outlineLevel="1" x14ac:dyDescent="0.2">
      <c r="A169" s="371" t="str">
        <f>+'BP 311220x3'!B13</f>
        <v>Ecopetrol SA (0,000005%)</v>
      </c>
      <c r="B169" s="342">
        <f>+'BP 311220x3'!F13</f>
        <v>650000000</v>
      </c>
      <c r="C169" s="342"/>
      <c r="D169" s="342"/>
      <c r="E169" s="342"/>
      <c r="F169" s="342"/>
      <c r="H169" s="197"/>
      <c r="I169" s="229"/>
      <c r="O169" s="190" t="s">
        <v>170</v>
      </c>
      <c r="R169" s="190" t="s">
        <v>913</v>
      </c>
    </row>
    <row r="170" spans="1:255" outlineLevel="1" x14ac:dyDescent="0.2">
      <c r="A170" s="371" t="str">
        <f>+'BP 311220x3'!B14</f>
        <v>Ecopetrol - ajustes al VR</v>
      </c>
      <c r="B170" s="342">
        <f>+'BP 311220x3'!F14</f>
        <v>241429120</v>
      </c>
      <c r="C170" s="342"/>
      <c r="D170" s="342"/>
      <c r="E170" s="342"/>
      <c r="F170" s="342"/>
      <c r="G170" s="190" t="s">
        <v>2110</v>
      </c>
      <c r="H170" s="197"/>
      <c r="I170" s="229"/>
      <c r="T170" s="190" t="s">
        <v>914</v>
      </c>
    </row>
    <row r="171" spans="1:255" outlineLevel="1" x14ac:dyDescent="0.2">
      <c r="A171" s="371" t="str">
        <f>+'BP 311220x3'!B15</f>
        <v>Construcciones Lvg SAS (40%)</v>
      </c>
      <c r="B171" s="342">
        <f>+'BP 311220x3'!F15</f>
        <v>1806700000</v>
      </c>
      <c r="C171" s="342"/>
      <c r="D171" s="342"/>
      <c r="E171" s="342"/>
      <c r="F171" s="342"/>
      <c r="H171" s="197"/>
      <c r="I171" s="229"/>
      <c r="J171" s="197">
        <f>-H171*10%</f>
        <v>0</v>
      </c>
      <c r="R171" s="190" t="s">
        <v>915</v>
      </c>
    </row>
    <row r="172" spans="1:255" outlineLevel="1" x14ac:dyDescent="0.2">
      <c r="A172" s="371" t="str">
        <f>+'BP 311220x3'!B16</f>
        <v>Inversiones en CDT</v>
      </c>
      <c r="B172" s="342">
        <f>+'BP 311220x3'!F16</f>
        <v>1200000000</v>
      </c>
      <c r="C172" s="342"/>
      <c r="D172" s="342"/>
      <c r="E172" s="342"/>
      <c r="F172" s="342"/>
      <c r="T172" s="190" t="s">
        <v>916</v>
      </c>
    </row>
    <row r="173" spans="1:255" outlineLevel="1" x14ac:dyDescent="0.2">
      <c r="A173" s="371" t="str">
        <f>+'BP 311220x3'!B17</f>
        <v>Derivados financieros</v>
      </c>
      <c r="B173" s="342">
        <f>+'BP 311220x3'!F17</f>
        <v>26526324</v>
      </c>
      <c r="C173" s="342"/>
      <c r="D173" s="342"/>
      <c r="E173" s="342"/>
      <c r="F173" s="342"/>
    </row>
    <row r="174" spans="1:255" outlineLevel="1" x14ac:dyDescent="0.2">
      <c r="A174" s="371" t="str">
        <f>+'BP 311220x3'!B18</f>
        <v>Cuentas por cobrar clientes</v>
      </c>
      <c r="B174" s="342">
        <f>+'BP 311220x3'!F18</f>
        <v>1724422030</v>
      </c>
      <c r="C174" s="342"/>
      <c r="D174" s="342"/>
      <c r="E174" s="342"/>
      <c r="F174" s="342"/>
    </row>
    <row r="175" spans="1:255" outlineLevel="1" x14ac:dyDescent="0.2">
      <c r="A175" s="371" t="str">
        <f>+'BP 311220x3'!B19</f>
        <v>Préstamos a asociadas</v>
      </c>
      <c r="B175" s="342">
        <f>+'BP 311220x3'!F19</f>
        <v>45000000</v>
      </c>
      <c r="C175" s="342"/>
      <c r="D175" s="342"/>
      <c r="E175" s="342"/>
      <c r="F175" s="342"/>
    </row>
    <row r="176" spans="1:255" outlineLevel="1" x14ac:dyDescent="0.2">
      <c r="A176" s="371" t="str">
        <f>+'BP 311220x3'!B20</f>
        <v xml:space="preserve">Avances para gastos de viaje </v>
      </c>
      <c r="B176" s="342">
        <f>+'BP 311220x3'!F20</f>
        <v>6543000</v>
      </c>
      <c r="C176" s="342"/>
      <c r="D176" s="342"/>
      <c r="E176" s="342"/>
      <c r="F176" s="342"/>
    </row>
    <row r="177" spans="1:24" outlineLevel="1" x14ac:dyDescent="0.2">
      <c r="A177" s="371" t="str">
        <f>+'BP 311220x3'!B21</f>
        <v>Saldo a favor IVA</v>
      </c>
      <c r="B177" s="342">
        <f>+'BP 311220x3'!F21</f>
        <v>0</v>
      </c>
      <c r="C177" s="342"/>
      <c r="D177" s="342"/>
      <c r="E177" s="342"/>
      <c r="F177" s="342"/>
    </row>
    <row r="178" spans="1:24" outlineLevel="1" x14ac:dyDescent="0.2">
      <c r="A178" s="371" t="str">
        <f>+'BP 311220x3'!B22</f>
        <v>Retenciones y autorretenciones</v>
      </c>
      <c r="B178" s="342">
        <f>+'BP 311220x3'!F22</f>
        <v>0</v>
      </c>
      <c r="C178" s="342"/>
      <c r="D178" s="342"/>
      <c r="E178" s="342"/>
      <c r="F178" s="342"/>
    </row>
    <row r="179" spans="1:24" outlineLevel="1" x14ac:dyDescent="0.2">
      <c r="A179" s="371" t="str">
        <f>+'BP 311220x3'!B23</f>
        <v>Prestamos gerente</v>
      </c>
      <c r="B179" s="342">
        <f>+'BP 311220x3'!F23</f>
        <v>62957000</v>
      </c>
      <c r="C179" s="342"/>
      <c r="D179" s="342"/>
      <c r="E179" s="342"/>
      <c r="F179" s="342"/>
    </row>
    <row r="180" spans="1:24" outlineLevel="1" x14ac:dyDescent="0.2">
      <c r="A180" s="371" t="str">
        <f>+'BP 311220x3'!B24</f>
        <v>Provisión- C x Cobrar fiscal</v>
      </c>
      <c r="B180" s="342">
        <f>+'BP 311220x3'!F24</f>
        <v>0</v>
      </c>
      <c r="C180" s="342"/>
      <c r="D180" s="342"/>
      <c r="E180" s="342"/>
      <c r="F180" s="342"/>
    </row>
    <row r="181" spans="1:24" outlineLevel="1" x14ac:dyDescent="0.2">
      <c r="A181" s="371" t="str">
        <f>+'BP 311220x3'!B25</f>
        <v>Deterioro CXC - ajuste a NIIF</v>
      </c>
      <c r="B181" s="342">
        <f>+'BP 311220x3'!F25</f>
        <v>-403327671</v>
      </c>
      <c r="C181" s="342"/>
      <c r="D181" s="342"/>
      <c r="E181" s="342"/>
      <c r="F181" s="342"/>
    </row>
    <row r="182" spans="1:24" outlineLevel="1" x14ac:dyDescent="0.2">
      <c r="A182" s="371" t="str">
        <f>+'BP 311220x3'!B26</f>
        <v>Materia prima</v>
      </c>
      <c r="B182" s="342">
        <f>+'BP 311220x3'!F26</f>
        <v>637356000</v>
      </c>
      <c r="C182" s="342"/>
      <c r="D182" s="342"/>
      <c r="E182" s="342"/>
      <c r="F182" s="342"/>
    </row>
    <row r="183" spans="1:24" outlineLevel="1" x14ac:dyDescent="0.2">
      <c r="A183" s="371" t="str">
        <f>+'BP 311220x3'!B27</f>
        <v>Productos terminados</v>
      </c>
      <c r="B183" s="342">
        <f>+'BP 311220x3'!F27</f>
        <v>524369000</v>
      </c>
      <c r="C183" s="342"/>
      <c r="D183" s="342"/>
      <c r="E183" s="342"/>
      <c r="F183" s="342"/>
    </row>
    <row r="184" spans="1:24" outlineLevel="1" x14ac:dyDescent="0.2">
      <c r="A184" s="371" t="str">
        <f>+'BP 311220x3'!B28</f>
        <v>Activo biológico- costo</v>
      </c>
      <c r="B184" s="342">
        <f>+'BP 311220x3'!F28</f>
        <v>1479259748</v>
      </c>
      <c r="C184" s="342"/>
      <c r="D184" s="342"/>
      <c r="E184" s="342"/>
      <c r="F184" s="342"/>
    </row>
    <row r="185" spans="1:24" outlineLevel="1" x14ac:dyDescent="0.2">
      <c r="A185" s="371" t="str">
        <f>+'BP 311220x3'!B29</f>
        <v>Activo biológico- ajuste al valor razonable</v>
      </c>
      <c r="B185" s="342">
        <f>+'BP 311220x3'!F29</f>
        <v>401740252</v>
      </c>
      <c r="C185" s="342"/>
      <c r="D185" s="342"/>
      <c r="E185" s="342"/>
      <c r="F185" s="342"/>
    </row>
    <row r="186" spans="1:24" outlineLevel="1" x14ac:dyDescent="0.2">
      <c r="A186" s="371" t="str">
        <f>+'BP 311220x3'!B30</f>
        <v>Deterioro de inventarios</v>
      </c>
      <c r="B186" s="342">
        <f>+'BP 311220x3'!F30</f>
        <v>0</v>
      </c>
      <c r="C186" s="342"/>
      <c r="D186" s="342"/>
      <c r="E186" s="342"/>
      <c r="F186" s="342"/>
    </row>
    <row r="187" spans="1:24" outlineLevel="1" x14ac:dyDescent="0.2">
      <c r="A187" s="371" t="str">
        <f>+'BP 311220x3'!B31</f>
        <v>Terreno 1- Producción</v>
      </c>
      <c r="B187" s="342">
        <f>+'BP 311220x3'!F31</f>
        <v>650000000</v>
      </c>
      <c r="C187" s="342"/>
      <c r="D187" s="342"/>
      <c r="E187" s="342"/>
      <c r="F187" s="342"/>
    </row>
    <row r="188" spans="1:24" outlineLevel="1" x14ac:dyDescent="0.2">
      <c r="A188" s="371" t="str">
        <f>+'BP 311220x3'!B32</f>
        <v>Terreno, parqueadero</v>
      </c>
      <c r="B188" s="342">
        <f>+'BP 311220x3'!F32</f>
        <v>550000000</v>
      </c>
      <c r="C188" s="342"/>
      <c r="D188" s="342"/>
      <c r="E188" s="342"/>
      <c r="F188" s="342"/>
      <c r="N188" s="240"/>
      <c r="O188" s="240"/>
      <c r="P188" s="240"/>
    </row>
    <row r="189" spans="1:24" outlineLevel="1" x14ac:dyDescent="0.2">
      <c r="A189" s="371" t="str">
        <f>+'BP 311220x3'!B33</f>
        <v>Terrenos ajustes NIIF</v>
      </c>
      <c r="B189" s="342">
        <f>+'BP 311220x3'!F33</f>
        <v>1450000000</v>
      </c>
      <c r="C189" s="342"/>
      <c r="D189" s="342"/>
      <c r="E189" s="342"/>
      <c r="F189" s="342"/>
      <c r="H189" s="197"/>
      <c r="I189" s="229"/>
      <c r="J189" s="197"/>
      <c r="N189" s="240"/>
      <c r="O189" s="240"/>
      <c r="P189" s="240"/>
    </row>
    <row r="190" spans="1:24" outlineLevel="1" x14ac:dyDescent="0.2">
      <c r="A190" s="371" t="str">
        <f>+'BP 311220x3'!B34</f>
        <v xml:space="preserve">Edificación </v>
      </c>
      <c r="B190" s="342">
        <f>+'BP 311220x3'!F34</f>
        <v>2445000000</v>
      </c>
      <c r="C190" s="342"/>
      <c r="D190" s="342"/>
      <c r="E190" s="342"/>
      <c r="F190" s="342"/>
      <c r="N190" s="240" t="s">
        <v>951</v>
      </c>
      <c r="O190" s="240" t="s">
        <v>957</v>
      </c>
      <c r="P190" s="240" t="s">
        <v>958</v>
      </c>
      <c r="Q190" s="190" t="s">
        <v>952</v>
      </c>
      <c r="U190" s="240"/>
      <c r="V190" s="240"/>
      <c r="W190" s="240"/>
      <c r="X190" s="240"/>
    </row>
    <row r="191" spans="1:24" outlineLevel="1" x14ac:dyDescent="0.2">
      <c r="A191" s="371" t="str">
        <f>+'BP 311220x3'!B35</f>
        <v xml:space="preserve">Maquina </v>
      </c>
      <c r="B191" s="342">
        <f>+'BP 311220x3'!F35</f>
        <v>825265324</v>
      </c>
      <c r="C191" s="342"/>
      <c r="D191" s="342"/>
      <c r="E191" s="342"/>
      <c r="F191" s="342"/>
      <c r="N191" s="240" t="s">
        <v>81</v>
      </c>
      <c r="O191" s="240">
        <v>3500</v>
      </c>
      <c r="P191" s="240">
        <v>1200</v>
      </c>
      <c r="U191" s="375">
        <v>43435</v>
      </c>
      <c r="V191" s="240">
        <v>2500</v>
      </c>
      <c r="W191" s="240"/>
      <c r="X191" s="240"/>
    </row>
    <row r="192" spans="1:24" outlineLevel="1" x14ac:dyDescent="0.2">
      <c r="A192" s="371" t="str">
        <f>+'BP 311220x3'!B36</f>
        <v>Muebles y enseres</v>
      </c>
      <c r="B192" s="342">
        <f>+'BP 311220x3'!F36</f>
        <v>435050949</v>
      </c>
      <c r="C192" s="342"/>
      <c r="D192" s="342"/>
      <c r="E192" s="342"/>
      <c r="F192" s="342"/>
      <c r="H192" s="197"/>
      <c r="I192" s="229"/>
      <c r="J192" s="197"/>
      <c r="N192" s="240" t="s">
        <v>956</v>
      </c>
      <c r="O192" s="240">
        <v>600</v>
      </c>
      <c r="P192" s="240">
        <v>1000</v>
      </c>
      <c r="U192" s="375">
        <v>43070</v>
      </c>
      <c r="V192" s="240">
        <v>4500</v>
      </c>
      <c r="W192" s="240" t="s">
        <v>961</v>
      </c>
      <c r="X192" s="240">
        <f>+V192-V193</f>
        <v>1800</v>
      </c>
    </row>
    <row r="193" spans="1:24" outlineLevel="1" x14ac:dyDescent="0.2">
      <c r="A193" s="371" t="str">
        <f>+'BP 311220x3'!B37</f>
        <v xml:space="preserve">Tractomula </v>
      </c>
      <c r="B193" s="342">
        <f>+'BP 311220x3'!F37</f>
        <v>245000000</v>
      </c>
      <c r="C193" s="342"/>
      <c r="D193" s="342"/>
      <c r="E193" s="342"/>
      <c r="F193" s="342"/>
      <c r="H193" s="197"/>
      <c r="I193" s="229"/>
      <c r="J193" s="197"/>
      <c r="N193" s="240"/>
      <c r="O193" s="339">
        <f>+O191-O192</f>
        <v>2900</v>
      </c>
      <c r="P193" s="339">
        <f>+P191-P192</f>
        <v>200</v>
      </c>
      <c r="Q193" s="340">
        <f>+O193-P193</f>
        <v>2700</v>
      </c>
      <c r="U193" s="240"/>
      <c r="V193" s="240">
        <v>2700</v>
      </c>
      <c r="W193" s="240" t="s">
        <v>962</v>
      </c>
      <c r="X193" s="240"/>
    </row>
    <row r="194" spans="1:24" outlineLevel="1" x14ac:dyDescent="0.2">
      <c r="A194" s="371" t="str">
        <f>+'BP 311220x3'!B38</f>
        <v>Dep acumulada edificación</v>
      </c>
      <c r="B194" s="342">
        <f>+'BP 311220x3'!F38</f>
        <v>-1711500000</v>
      </c>
      <c r="C194" s="342"/>
      <c r="D194" s="342"/>
      <c r="E194" s="342"/>
      <c r="F194" s="342"/>
      <c r="N194" s="240"/>
      <c r="O194" s="240"/>
      <c r="P194" s="240"/>
      <c r="U194" s="240"/>
      <c r="V194" s="240"/>
      <c r="W194" s="240"/>
      <c r="X194" s="240"/>
    </row>
    <row r="195" spans="1:24" outlineLevel="1" x14ac:dyDescent="0.2">
      <c r="A195" s="371" t="str">
        <f>+'BP 311220x3'!B39</f>
        <v>Dep acumulada edificación ajuste NIIF</v>
      </c>
      <c r="B195" s="342">
        <f>+'BP 311220x3'!F39</f>
        <v>1515900000</v>
      </c>
      <c r="C195" s="342"/>
      <c r="D195" s="342"/>
      <c r="E195" s="342"/>
      <c r="F195" s="342"/>
      <c r="N195" s="240"/>
      <c r="O195" s="240"/>
      <c r="P195" s="240" t="s">
        <v>953</v>
      </c>
      <c r="Q195" s="318">
        <f>+Q193</f>
        <v>2700</v>
      </c>
      <c r="U195" s="240"/>
      <c r="V195" s="240"/>
      <c r="W195" s="240"/>
      <c r="X195" s="240"/>
    </row>
    <row r="196" spans="1:24" outlineLevel="1" x14ac:dyDescent="0.2">
      <c r="A196" s="371" t="str">
        <f>+'BP 311220x3'!B40</f>
        <v>Dep acumulada maquinaria</v>
      </c>
      <c r="B196" s="342">
        <f>+'BP 311220x3'!F40</f>
        <v>-577685727</v>
      </c>
      <c r="C196" s="342"/>
      <c r="D196" s="342"/>
      <c r="E196" s="342"/>
      <c r="F196" s="342"/>
      <c r="N196" s="240"/>
      <c r="O196" s="240"/>
      <c r="P196" s="240"/>
      <c r="T196" s="190" t="s">
        <v>963</v>
      </c>
      <c r="U196" s="240"/>
      <c r="V196" s="240">
        <f>+V192</f>
        <v>4500</v>
      </c>
      <c r="W196" s="240"/>
      <c r="X196" s="240"/>
    </row>
    <row r="197" spans="1:24" outlineLevel="1" x14ac:dyDescent="0.2">
      <c r="A197" s="371" t="str">
        <f>+'BP 311220x3'!B41</f>
        <v>Dep acumulada enseres</v>
      </c>
      <c r="B197" s="342">
        <f>+'BP 311220x3'!F41</f>
        <v>-348040759</v>
      </c>
      <c r="C197" s="342"/>
      <c r="D197" s="342"/>
      <c r="E197" s="342"/>
      <c r="F197" s="342"/>
      <c r="N197" s="240" t="s">
        <v>954</v>
      </c>
      <c r="O197" s="240" t="s">
        <v>959</v>
      </c>
      <c r="P197" s="240">
        <f>+P192</f>
        <v>1000</v>
      </c>
      <c r="Q197" s="190">
        <f>+P197*33%</f>
        <v>330</v>
      </c>
      <c r="T197" s="190" t="s">
        <v>963</v>
      </c>
      <c r="U197" s="240"/>
      <c r="V197" s="240"/>
      <c r="W197" s="240">
        <f>+V191</f>
        <v>2500</v>
      </c>
      <c r="X197" s="240"/>
    </row>
    <row r="198" spans="1:24" outlineLevel="1" x14ac:dyDescent="0.2">
      <c r="A198" s="371" t="str">
        <f>+'BP 311220x3'!B42</f>
        <v>Dep acumulada tractomula</v>
      </c>
      <c r="B198" s="342">
        <f>+'BP 311220x3'!F42</f>
        <v>-245000000</v>
      </c>
      <c r="C198" s="342"/>
      <c r="D198" s="342"/>
      <c r="E198" s="342"/>
      <c r="F198" s="342"/>
      <c r="O198" s="190" t="s">
        <v>960</v>
      </c>
      <c r="P198" s="318">
        <f>+Q195-P197</f>
        <v>1700</v>
      </c>
      <c r="Q198" s="190">
        <f>+P198*10%</f>
        <v>170</v>
      </c>
      <c r="T198" s="190" t="s">
        <v>964</v>
      </c>
      <c r="U198" s="240"/>
      <c r="V198" s="240"/>
      <c r="W198" s="240">
        <f>+X192</f>
        <v>1800</v>
      </c>
      <c r="X198" s="240"/>
    </row>
    <row r="199" spans="1:24" outlineLevel="1" x14ac:dyDescent="0.2">
      <c r="A199" s="371" t="str">
        <f>+'BP 311220x3'!B43</f>
        <v>Dep acumulada tractomula ajuste NIIF</v>
      </c>
      <c r="B199" s="342">
        <f>+'BP 311220x3'!F43</f>
        <v>145952381</v>
      </c>
      <c r="C199" s="342"/>
      <c r="D199" s="342"/>
      <c r="E199" s="342"/>
      <c r="F199" s="342"/>
      <c r="P199" s="15" t="s">
        <v>912</v>
      </c>
      <c r="Q199" s="15">
        <f>+SUM(Q197:Q198)</f>
        <v>500</v>
      </c>
      <c r="T199" s="190" t="s">
        <v>965</v>
      </c>
      <c r="U199" s="240"/>
      <c r="V199" s="240"/>
      <c r="W199" s="240">
        <f>+V193-V191</f>
        <v>200</v>
      </c>
      <c r="X199" s="240"/>
    </row>
    <row r="200" spans="1:24" outlineLevel="1" x14ac:dyDescent="0.2">
      <c r="A200" s="371" t="str">
        <f>+'BP 311220x3'!B44</f>
        <v>Programa de contabilidad</v>
      </c>
      <c r="B200" s="342">
        <f>+'BP 311220x3'!F44</f>
        <v>65000000</v>
      </c>
      <c r="C200" s="342"/>
      <c r="D200" s="342"/>
      <c r="E200" s="342"/>
      <c r="F200" s="342"/>
      <c r="U200" s="240"/>
      <c r="V200" s="339">
        <f>+SUM(V196:V199)</f>
        <v>4500</v>
      </c>
      <c r="W200" s="339">
        <f>+SUM(W196:W199)</f>
        <v>4500</v>
      </c>
      <c r="X200" s="240"/>
    </row>
    <row r="201" spans="1:24" outlineLevel="1" x14ac:dyDescent="0.2">
      <c r="A201" s="371" t="str">
        <f>+'BP 311220x3'!B45</f>
        <v>Amortización</v>
      </c>
      <c r="B201" s="342">
        <f>+'BP 311220x3'!F45</f>
        <v>-65000000</v>
      </c>
      <c r="C201" s="342"/>
      <c r="D201" s="342"/>
      <c r="E201" s="342"/>
      <c r="F201" s="342"/>
    </row>
    <row r="202" spans="1:24" outlineLevel="1" x14ac:dyDescent="0.2">
      <c r="A202" s="371" t="str">
        <f>+'BP 311220x3'!B46</f>
        <v>Suscripciones a revistas</v>
      </c>
      <c r="B202" s="342">
        <f>+'BP 311220x3'!F46</f>
        <v>12123000</v>
      </c>
      <c r="C202" s="342"/>
      <c r="D202" s="342"/>
      <c r="E202" s="342"/>
      <c r="F202" s="342"/>
    </row>
    <row r="203" spans="1:24" outlineLevel="1" x14ac:dyDescent="0.2">
      <c r="A203" s="371" t="str">
        <f>+'BP 311220x3'!B47</f>
        <v>Arrendamientos</v>
      </c>
      <c r="B203" s="342">
        <f>+'BP 311220x3'!F47</f>
        <v>6543000</v>
      </c>
      <c r="C203" s="342"/>
      <c r="D203" s="342"/>
      <c r="E203" s="342"/>
      <c r="F203" s="342"/>
    </row>
    <row r="204" spans="1:24" outlineLevel="1" x14ac:dyDescent="0.2">
      <c r="A204" s="371" t="str">
        <f>+'BP 311220x3'!B48</f>
        <v>Polizas de seguros</v>
      </c>
      <c r="B204" s="342">
        <f>+'BP 311220x3'!F48</f>
        <v>7500000</v>
      </c>
      <c r="C204" s="342"/>
      <c r="D204" s="342"/>
      <c r="E204" s="342"/>
      <c r="F204" s="342"/>
    </row>
    <row r="205" spans="1:24" outlineLevel="1" x14ac:dyDescent="0.2">
      <c r="A205" s="371" t="str">
        <f>+'BP 311220x3'!B49</f>
        <v>Propiedades de inversión</v>
      </c>
      <c r="B205" s="342">
        <f>+'BP 311220x3'!F49</f>
        <v>700000000</v>
      </c>
      <c r="C205" s="342"/>
      <c r="D205" s="342"/>
      <c r="E205" s="342"/>
      <c r="F205" s="342"/>
    </row>
    <row r="206" spans="1:24" outlineLevel="1" x14ac:dyDescent="0.2">
      <c r="A206" s="371" t="str">
        <f>+'BP 311220x3'!B50</f>
        <v>Propiedades de inversión ajuste NIIF</v>
      </c>
      <c r="B206" s="342">
        <f>+'BP 311220x3'!F50</f>
        <v>1192000000</v>
      </c>
      <c r="C206" s="342"/>
      <c r="D206" s="342"/>
      <c r="E206" s="342"/>
      <c r="F206" s="342"/>
    </row>
    <row r="207" spans="1:24" outlineLevel="1" x14ac:dyDescent="0.2">
      <c r="A207" s="371" t="str">
        <f>+'BP 311220x3'!B51</f>
        <v>Activo x impuestos diferidos</v>
      </c>
      <c r="B207" s="342">
        <f>+'BP 311220x3'!F51</f>
        <v>0</v>
      </c>
      <c r="C207" s="342"/>
      <c r="D207" s="342"/>
      <c r="E207" s="342"/>
      <c r="F207" s="342"/>
    </row>
    <row r="208" spans="1:24" outlineLevel="1" x14ac:dyDescent="0.2">
      <c r="A208" s="26" t="s">
        <v>54</v>
      </c>
      <c r="B208" s="266">
        <f>SUM(B163:B207)</f>
        <v>24781741580</v>
      </c>
      <c r="C208" s="266">
        <f>SUM(C163:C207)</f>
        <v>0</v>
      </c>
      <c r="D208" s="266">
        <f>SUM(D163:D207)</f>
        <v>0</v>
      </c>
      <c r="E208" s="266">
        <f>SUM(E163:E207)</f>
        <v>0</v>
      </c>
      <c r="F208" s="343">
        <f>SUM(F163:F207)</f>
        <v>0</v>
      </c>
      <c r="G208" s="242"/>
    </row>
    <row r="209" spans="1:12" outlineLevel="1" x14ac:dyDescent="0.2">
      <c r="B209" s="372">
        <f>+B208-'BP 311220x3'!F52</f>
        <v>0</v>
      </c>
      <c r="C209" s="357"/>
      <c r="D209" s="357"/>
      <c r="E209" s="357"/>
      <c r="F209" s="357"/>
      <c r="G209" s="242"/>
    </row>
    <row r="210" spans="1:12" outlineLevel="1" x14ac:dyDescent="0.2">
      <c r="A210" s="25" t="s">
        <v>17</v>
      </c>
      <c r="B210" s="373"/>
      <c r="C210" s="374"/>
      <c r="D210" s="374"/>
      <c r="E210" s="374"/>
      <c r="F210" s="374"/>
      <c r="G210" s="242"/>
    </row>
    <row r="211" spans="1:12" outlineLevel="1" x14ac:dyDescent="0.2">
      <c r="A211" s="371" t="str">
        <f>+'BP 311220x3'!B55</f>
        <v>Obligaciones financieras</v>
      </c>
      <c r="B211" s="342">
        <f>+'BP 311220x3'!F55</f>
        <v>1414550974.1461334</v>
      </c>
      <c r="C211" s="342"/>
      <c r="D211" s="342"/>
      <c r="E211" s="342"/>
      <c r="F211" s="342"/>
      <c r="G211" s="242"/>
    </row>
    <row r="212" spans="1:12" outlineLevel="1" x14ac:dyDescent="0.2">
      <c r="A212" s="371" t="str">
        <f>+'BP 311220x3'!B56</f>
        <v>Proveedores</v>
      </c>
      <c r="B212" s="342">
        <f>+'BP 311220x3'!F56</f>
        <v>324657000</v>
      </c>
      <c r="C212" s="342"/>
      <c r="D212" s="342"/>
      <c r="E212" s="342"/>
      <c r="F212" s="342"/>
      <c r="G212" s="242"/>
      <c r="K212" s="240"/>
      <c r="L212" s="240"/>
    </row>
    <row r="213" spans="1:12" outlineLevel="1" x14ac:dyDescent="0.2">
      <c r="A213" s="371" t="str">
        <f>+'BP 311220x3'!B57</f>
        <v>Retención en la fuente</v>
      </c>
      <c r="B213" s="342">
        <f>+'BP 311220x3'!F57</f>
        <v>11432000</v>
      </c>
      <c r="C213" s="342"/>
      <c r="D213" s="342"/>
      <c r="E213" s="342"/>
      <c r="F213" s="342"/>
      <c r="G213" s="242"/>
      <c r="K213" s="240"/>
      <c r="L213" s="240"/>
    </row>
    <row r="214" spans="1:12" outlineLevel="1" x14ac:dyDescent="0.2">
      <c r="A214" s="371" t="str">
        <f>+'BP 311220x3'!B58</f>
        <v>Parafiscales por pagar</v>
      </c>
      <c r="B214" s="342">
        <f>+'BP 311220x3'!F58</f>
        <v>36765000</v>
      </c>
      <c r="C214" s="342"/>
      <c r="D214" s="342"/>
      <c r="E214" s="342"/>
      <c r="F214" s="342"/>
      <c r="G214" s="242"/>
      <c r="L214" s="240"/>
    </row>
    <row r="215" spans="1:12" outlineLevel="1" x14ac:dyDescent="0.2">
      <c r="A215" s="371" t="str">
        <f>+'BP 311220x3'!B59</f>
        <v>Aportes salud y ARL</v>
      </c>
      <c r="B215" s="342">
        <f>+'BP 311220x3'!F59</f>
        <v>56765000</v>
      </c>
      <c r="C215" s="342"/>
      <c r="D215" s="342"/>
      <c r="E215" s="342"/>
      <c r="F215" s="342"/>
      <c r="G215" s="242"/>
      <c r="K215" s="240"/>
      <c r="L215" s="240"/>
    </row>
    <row r="216" spans="1:12" outlineLevel="1" x14ac:dyDescent="0.2">
      <c r="A216" s="371" t="str">
        <f>+'BP 311220x3'!B60</f>
        <v>Aportes pensión</v>
      </c>
      <c r="B216" s="342">
        <f>+'BP 311220x3'!F60</f>
        <v>170654000</v>
      </c>
      <c r="C216" s="342"/>
      <c r="D216" s="342"/>
      <c r="E216" s="342"/>
      <c r="F216" s="342"/>
      <c r="G216" s="242"/>
      <c r="J216" s="15"/>
      <c r="K216" s="339"/>
      <c r="L216" s="339"/>
    </row>
    <row r="217" spans="1:12" outlineLevel="1" x14ac:dyDescent="0.2">
      <c r="A217" s="371" t="str">
        <f>+'BP 311220x3'!B61</f>
        <v>Impuesto de renta por pagar</v>
      </c>
      <c r="B217" s="342">
        <f>+'BP 311220x3'!F61</f>
        <v>1735037000</v>
      </c>
      <c r="C217" s="342"/>
      <c r="D217" s="342"/>
      <c r="E217" s="342"/>
      <c r="F217" s="342"/>
      <c r="G217" s="242"/>
      <c r="K217" s="240"/>
      <c r="L217" s="240"/>
    </row>
    <row r="218" spans="1:12" outlineLevel="1" x14ac:dyDescent="0.2">
      <c r="A218" s="371" t="str">
        <f>+'BP 311220x3'!B62</f>
        <v>Impuesto sobre las ventas - IVA</v>
      </c>
      <c r="B218" s="342">
        <f>+'BP 311220x3'!F62</f>
        <v>415174000</v>
      </c>
      <c r="C218" s="342"/>
      <c r="D218" s="342"/>
      <c r="E218" s="342"/>
      <c r="F218" s="342"/>
      <c r="G218" s="242"/>
      <c r="K218" s="240"/>
      <c r="L218" s="240"/>
    </row>
    <row r="219" spans="1:12" outlineLevel="1" x14ac:dyDescent="0.2">
      <c r="A219" s="371" t="str">
        <f>+'BP 311220x3'!B63</f>
        <v>Industria y comercio por pagar</v>
      </c>
      <c r="B219" s="342">
        <f>+'BP 311220x3'!F63</f>
        <v>289426370.51999998</v>
      </c>
      <c r="C219" s="342"/>
      <c r="D219" s="342"/>
      <c r="E219" s="342"/>
      <c r="F219" s="342"/>
      <c r="G219" s="242"/>
      <c r="K219" s="240"/>
      <c r="L219" s="240"/>
    </row>
    <row r="220" spans="1:12" outlineLevel="1" x14ac:dyDescent="0.2">
      <c r="A220" s="371" t="str">
        <f>+'BP 311220x3'!B64</f>
        <v>Pasivos laborales</v>
      </c>
      <c r="B220" s="342">
        <f>+'BP 311220x3'!F64</f>
        <v>90319513</v>
      </c>
      <c r="C220" s="342"/>
      <c r="D220" s="342"/>
      <c r="E220" s="342"/>
      <c r="F220" s="342"/>
      <c r="G220" s="242"/>
      <c r="K220" s="240"/>
      <c r="L220" s="240"/>
    </row>
    <row r="221" spans="1:12" outlineLevel="1" x14ac:dyDescent="0.2">
      <c r="A221" s="371" t="str">
        <f>+'BP 311220x3'!B65</f>
        <v xml:space="preserve">Litigios y demandas </v>
      </c>
      <c r="B221" s="342">
        <f>+'BP 311220x3'!F65</f>
        <v>197067140</v>
      </c>
      <c r="C221" s="342"/>
      <c r="D221" s="342"/>
      <c r="E221" s="342"/>
      <c r="F221" s="342"/>
      <c r="G221" s="242"/>
    </row>
    <row r="222" spans="1:12" outlineLevel="1" x14ac:dyDescent="0.2">
      <c r="A222" s="371" t="str">
        <f>+'BP 311220x3'!B66</f>
        <v>Garantías</v>
      </c>
      <c r="B222" s="342">
        <f>+'BP 311220x3'!F66</f>
        <v>165743000</v>
      </c>
      <c r="C222" s="342"/>
      <c r="D222" s="342"/>
      <c r="E222" s="342"/>
      <c r="F222" s="342"/>
      <c r="G222" s="242"/>
    </row>
    <row r="223" spans="1:12" outlineLevel="1" x14ac:dyDescent="0.2">
      <c r="A223" s="371" t="str">
        <f>+'BP 311220x3'!B67</f>
        <v>Derivados financieros</v>
      </c>
      <c r="B223" s="342">
        <f>+'BP 311220x3'!F67</f>
        <v>37700100</v>
      </c>
      <c r="C223" s="342"/>
      <c r="D223" s="342"/>
      <c r="E223" s="342"/>
      <c r="F223" s="342"/>
      <c r="G223" s="242"/>
    </row>
    <row r="224" spans="1:12" outlineLevel="1" x14ac:dyDescent="0.2">
      <c r="A224" s="371" t="str">
        <f>+'BP 311220x3'!B68</f>
        <v>Pasivos x impuestos diferidos</v>
      </c>
      <c r="B224" s="342">
        <f>+'BP 311220x3'!F68</f>
        <v>0</v>
      </c>
      <c r="C224" s="342"/>
      <c r="D224" s="342"/>
      <c r="E224" s="342"/>
      <c r="F224" s="342"/>
      <c r="G224" s="242"/>
    </row>
    <row r="225" spans="1:7" outlineLevel="1" x14ac:dyDescent="0.2">
      <c r="A225" s="319" t="s">
        <v>55</v>
      </c>
      <c r="B225" s="380">
        <f>SUM(B211:B224)</f>
        <v>4945291097.6661339</v>
      </c>
      <c r="C225" s="380">
        <f>SUM(C211:C224)</f>
        <v>0</v>
      </c>
      <c r="D225" s="380">
        <f>SUM(D211:D224)</f>
        <v>0</v>
      </c>
      <c r="E225" s="380"/>
      <c r="F225" s="380">
        <f>SUM(F211:F224)</f>
        <v>0</v>
      </c>
    </row>
    <row r="226" spans="1:7" outlineLevel="1" x14ac:dyDescent="0.2">
      <c r="B226" s="365">
        <f>+B225-'BP 311220x3'!F69</f>
        <v>0</v>
      </c>
      <c r="C226" s="268"/>
      <c r="D226" s="268"/>
      <c r="E226" s="268"/>
      <c r="F226" s="268"/>
    </row>
    <row r="227" spans="1:7" outlineLevel="1" x14ac:dyDescent="0.2">
      <c r="B227" s="268"/>
      <c r="C227" s="357"/>
      <c r="D227" s="268"/>
      <c r="E227" s="268"/>
      <c r="F227" s="268"/>
    </row>
    <row r="228" spans="1:7" outlineLevel="1" x14ac:dyDescent="0.2">
      <c r="A228" s="195" t="s">
        <v>70</v>
      </c>
      <c r="B228" s="196">
        <v>0</v>
      </c>
      <c r="C228" s="196"/>
      <c r="D228" s="320">
        <f>+B228</f>
        <v>0</v>
      </c>
      <c r="E228" s="196"/>
      <c r="F228" s="196">
        <f>+D228*34%</f>
        <v>0</v>
      </c>
      <c r="G228" s="190" t="s">
        <v>0</v>
      </c>
    </row>
    <row r="229" spans="1:7" outlineLevel="1" x14ac:dyDescent="0.2">
      <c r="A229" s="195" t="s">
        <v>71</v>
      </c>
      <c r="B229" s="196">
        <v>0</v>
      </c>
      <c r="C229" s="196"/>
      <c r="D229" s="320">
        <f>+B229</f>
        <v>0</v>
      </c>
      <c r="E229" s="196"/>
      <c r="F229" s="196">
        <f>+D229*34%</f>
        <v>0</v>
      </c>
      <c r="G229" s="190" t="s">
        <v>0</v>
      </c>
    </row>
    <row r="230" spans="1:7" outlineLevel="1" x14ac:dyDescent="0.2">
      <c r="B230" s="268"/>
      <c r="C230" s="357"/>
      <c r="D230" s="268"/>
      <c r="E230" s="268"/>
      <c r="F230" s="268"/>
    </row>
    <row r="231" spans="1:7" outlineLevel="1" x14ac:dyDescent="0.2">
      <c r="B231" s="357"/>
      <c r="C231" s="357"/>
    </row>
    <row r="232" spans="1:7" outlineLevel="1" x14ac:dyDescent="0.2">
      <c r="A232" s="25" t="s">
        <v>4</v>
      </c>
      <c r="B232" s="266"/>
      <c r="C232" s="266"/>
      <c r="D232" s="266"/>
      <c r="E232" s="266"/>
      <c r="F232" s="343">
        <f>+F208+F225+F228+F229</f>
        <v>0</v>
      </c>
      <c r="G232" s="197"/>
    </row>
    <row r="233" spans="1:7" outlineLevel="1" x14ac:dyDescent="0.2">
      <c r="A233" s="15"/>
      <c r="B233" s="268"/>
      <c r="C233" s="268"/>
      <c r="D233" s="268"/>
      <c r="E233" s="268"/>
      <c r="F233" s="268"/>
      <c r="G233" s="197"/>
    </row>
  </sheetData>
  <phoneticPr fontId="6" type="noConversion"/>
  <dataValidations count="1">
    <dataValidation type="list" allowBlank="1" showInputMessage="1" showErrorMessage="1" sqref="E163:E207 E228:E229 E133:E146 E150:E151 E53:E65 E8:E49 E69:E70 E85:E129 E211:E224" xr:uid="{00000000-0002-0000-1A00-000000000000}">
      <formula1>$IU$2:$IU$7</formula1>
    </dataValidation>
  </dataValidations>
  <pageMargins left="0.39370078740157483" right="0.39370078740157483" top="0.39370078740157483" bottom="0.39370078740157483" header="0" footer="0"/>
  <pageSetup orientation="landscape"/>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35"/>
  <sheetViews>
    <sheetView showGridLines="0" zoomScale="145" zoomScaleNormal="145" workbookViewId="0">
      <selection activeCell="E3" sqref="E3"/>
    </sheetView>
  </sheetViews>
  <sheetFormatPr baseColWidth="10" defaultRowHeight="12.75" x14ac:dyDescent="0.2"/>
  <cols>
    <col min="2" max="3" width="12.42578125" bestFit="1" customWidth="1"/>
    <col min="4" max="4" width="15" customWidth="1"/>
    <col min="7" max="7" width="13.5703125" customWidth="1"/>
    <col min="9" max="9" width="14" customWidth="1"/>
  </cols>
  <sheetData>
    <row r="1" spans="1:9" x14ac:dyDescent="0.2">
      <c r="C1" s="190" t="s">
        <v>2196</v>
      </c>
      <c r="E1" s="190" t="s">
        <v>2195</v>
      </c>
      <c r="G1" s="1168">
        <v>0.13700000000000001</v>
      </c>
    </row>
    <row r="2" spans="1:9" x14ac:dyDescent="0.2">
      <c r="C2" s="190" t="s">
        <v>2197</v>
      </c>
      <c r="E2" s="190" t="s">
        <v>2194</v>
      </c>
      <c r="G2" s="1168">
        <v>3.2099999999999997E-2</v>
      </c>
    </row>
    <row r="3" spans="1:9" x14ac:dyDescent="0.2">
      <c r="B3" s="15" t="s">
        <v>1264</v>
      </c>
      <c r="C3" s="15"/>
      <c r="D3" s="15"/>
      <c r="E3" s="1169">
        <v>0.13700000000000001</v>
      </c>
      <c r="G3" s="1175">
        <f>SUM(G6:G35)</f>
        <v>10326218.482191782</v>
      </c>
      <c r="I3" s="586">
        <v>45291</v>
      </c>
    </row>
    <row r="5" spans="1:9" ht="38.25" x14ac:dyDescent="0.2">
      <c r="A5" s="579" t="s">
        <v>1258</v>
      </c>
      <c r="B5" s="579" t="s">
        <v>1259</v>
      </c>
      <c r="C5" s="579" t="s">
        <v>1260</v>
      </c>
      <c r="D5" s="579" t="s">
        <v>48</v>
      </c>
      <c r="E5" s="579" t="s">
        <v>1261</v>
      </c>
      <c r="F5" s="579" t="s">
        <v>1262</v>
      </c>
      <c r="G5" s="580" t="s">
        <v>1263</v>
      </c>
    </row>
    <row r="6" spans="1:9" x14ac:dyDescent="0.2">
      <c r="A6" s="1602" t="s">
        <v>1258</v>
      </c>
      <c r="B6" s="581"/>
      <c r="C6" s="581"/>
      <c r="D6" s="581">
        <v>120000000</v>
      </c>
      <c r="E6" s="582">
        <v>44927</v>
      </c>
      <c r="F6" s="294">
        <f>IF(E6="","",IF(E7="",$I$3-E6,E7-E6))</f>
        <v>5</v>
      </c>
      <c r="G6" s="583">
        <f>IF(F6="","",((F6*$E$3*D6)/365))</f>
        <v>225205.4794520548</v>
      </c>
      <c r="I6" s="1170"/>
    </row>
    <row r="7" spans="1:9" x14ac:dyDescent="0.2">
      <c r="A7" s="1603"/>
      <c r="B7" s="584"/>
      <c r="C7" s="584">
        <v>65000000</v>
      </c>
      <c r="D7" s="581">
        <f t="shared" ref="D7:D35" si="0">+D6+B7-C7</f>
        <v>55000000</v>
      </c>
      <c r="E7" s="585">
        <v>44932</v>
      </c>
      <c r="F7" s="294">
        <f t="shared" ref="F7:F35" si="1">IF(E7="","",IF(E8="",$I$3-E7,E8-E7))</f>
        <v>168</v>
      </c>
      <c r="G7" s="583">
        <f t="shared" ref="G7:G35" si="2">IF(F7="","",((F7*$E$3*D7)/365))</f>
        <v>3468164.3835616438</v>
      </c>
    </row>
    <row r="8" spans="1:9" x14ac:dyDescent="0.2">
      <c r="A8" s="1603"/>
      <c r="B8" s="584">
        <v>12563000</v>
      </c>
      <c r="C8" s="584"/>
      <c r="D8" s="581">
        <f t="shared" si="0"/>
        <v>67563000</v>
      </c>
      <c r="E8" s="585">
        <v>45100</v>
      </c>
      <c r="F8" s="294">
        <f t="shared" si="1"/>
        <v>81</v>
      </c>
      <c r="G8" s="583">
        <f t="shared" si="2"/>
        <v>2054100.3041095894</v>
      </c>
    </row>
    <row r="9" spans="1:9" x14ac:dyDescent="0.2">
      <c r="A9" s="1603"/>
      <c r="B9" s="584">
        <v>63000000</v>
      </c>
      <c r="C9" s="584"/>
      <c r="D9" s="581">
        <f t="shared" si="0"/>
        <v>130563000</v>
      </c>
      <c r="E9" s="585">
        <v>45181</v>
      </c>
      <c r="F9" s="294">
        <f t="shared" si="1"/>
        <v>85</v>
      </c>
      <c r="G9" s="583">
        <f t="shared" si="2"/>
        <v>4165496.2602739735</v>
      </c>
    </row>
    <row r="10" spans="1:9" x14ac:dyDescent="0.2">
      <c r="A10" s="1603"/>
      <c r="B10" s="584"/>
      <c r="C10" s="584">
        <v>86523000</v>
      </c>
      <c r="D10" s="581">
        <f t="shared" si="0"/>
        <v>44040000</v>
      </c>
      <c r="E10" s="585">
        <v>45266</v>
      </c>
      <c r="F10" s="294">
        <f t="shared" si="1"/>
        <v>25</v>
      </c>
      <c r="G10" s="583">
        <f t="shared" si="2"/>
        <v>413252.05479452055</v>
      </c>
    </row>
    <row r="11" spans="1:9" x14ac:dyDescent="0.2">
      <c r="A11" s="1603"/>
      <c r="B11" s="584"/>
      <c r="C11" s="584"/>
      <c r="D11" s="581">
        <f t="shared" si="0"/>
        <v>44040000</v>
      </c>
      <c r="E11" s="585"/>
      <c r="F11" s="294" t="str">
        <f t="shared" si="1"/>
        <v/>
      </c>
      <c r="G11" s="583" t="str">
        <f t="shared" si="2"/>
        <v/>
      </c>
    </row>
    <row r="12" spans="1:9" x14ac:dyDescent="0.2">
      <c r="A12" s="1603"/>
      <c r="B12" s="584"/>
      <c r="C12" s="584"/>
      <c r="D12" s="581">
        <f t="shared" si="0"/>
        <v>44040000</v>
      </c>
      <c r="E12" s="585"/>
      <c r="F12" s="294" t="str">
        <f t="shared" si="1"/>
        <v/>
      </c>
      <c r="G12" s="583" t="str">
        <f t="shared" si="2"/>
        <v/>
      </c>
    </row>
    <row r="13" spans="1:9" x14ac:dyDescent="0.2">
      <c r="A13" s="1603"/>
      <c r="B13" s="584"/>
      <c r="C13" s="584"/>
      <c r="D13" s="581">
        <f t="shared" si="0"/>
        <v>44040000</v>
      </c>
      <c r="E13" s="585"/>
      <c r="F13" s="294" t="str">
        <f t="shared" si="1"/>
        <v/>
      </c>
      <c r="G13" s="583" t="str">
        <f t="shared" si="2"/>
        <v/>
      </c>
    </row>
    <row r="14" spans="1:9" x14ac:dyDescent="0.2">
      <c r="A14" s="1603"/>
      <c r="B14" s="584"/>
      <c r="C14" s="584"/>
      <c r="D14" s="581">
        <f t="shared" si="0"/>
        <v>44040000</v>
      </c>
      <c r="E14" s="585"/>
      <c r="F14" s="294" t="str">
        <f t="shared" si="1"/>
        <v/>
      </c>
      <c r="G14" s="583" t="str">
        <f t="shared" si="2"/>
        <v/>
      </c>
    </row>
    <row r="15" spans="1:9" x14ac:dyDescent="0.2">
      <c r="A15" s="1603"/>
      <c r="B15" s="584"/>
      <c r="C15" s="584"/>
      <c r="D15" s="581">
        <f t="shared" si="0"/>
        <v>44040000</v>
      </c>
      <c r="E15" s="585"/>
      <c r="F15" s="294" t="str">
        <f t="shared" si="1"/>
        <v/>
      </c>
      <c r="G15" s="583" t="str">
        <f t="shared" si="2"/>
        <v/>
      </c>
    </row>
    <row r="16" spans="1:9" x14ac:dyDescent="0.2">
      <c r="A16" s="1603"/>
      <c r="B16" s="584"/>
      <c r="C16" s="584"/>
      <c r="D16" s="581">
        <f t="shared" si="0"/>
        <v>44040000</v>
      </c>
      <c r="E16" s="585"/>
      <c r="F16" s="294" t="str">
        <f t="shared" si="1"/>
        <v/>
      </c>
      <c r="G16" s="583" t="str">
        <f t="shared" si="2"/>
        <v/>
      </c>
    </row>
    <row r="17" spans="1:9" x14ac:dyDescent="0.2">
      <c r="A17" s="1603"/>
      <c r="B17" s="584"/>
      <c r="C17" s="584"/>
      <c r="D17" s="581">
        <f t="shared" si="0"/>
        <v>44040000</v>
      </c>
      <c r="E17" s="585"/>
      <c r="F17" s="294" t="str">
        <f t="shared" si="1"/>
        <v/>
      </c>
      <c r="G17" s="583" t="str">
        <f t="shared" si="2"/>
        <v/>
      </c>
    </row>
    <row r="18" spans="1:9" x14ac:dyDescent="0.2">
      <c r="A18" s="1603"/>
      <c r="B18" s="584"/>
      <c r="C18" s="584"/>
      <c r="D18" s="581">
        <f t="shared" si="0"/>
        <v>44040000</v>
      </c>
      <c r="E18" s="585"/>
      <c r="F18" s="294" t="str">
        <f t="shared" si="1"/>
        <v/>
      </c>
      <c r="G18" s="583" t="str">
        <f t="shared" si="2"/>
        <v/>
      </c>
      <c r="I18" t="s">
        <v>2120</v>
      </c>
    </row>
    <row r="19" spans="1:9" x14ac:dyDescent="0.2">
      <c r="A19" s="1603"/>
      <c r="B19" s="584"/>
      <c r="C19" s="584"/>
      <c r="D19" s="581">
        <f t="shared" si="0"/>
        <v>44040000</v>
      </c>
      <c r="E19" s="585"/>
      <c r="F19" s="294" t="str">
        <f t="shared" si="1"/>
        <v/>
      </c>
      <c r="G19" s="583" t="str">
        <f t="shared" si="2"/>
        <v/>
      </c>
      <c r="I19" s="565"/>
    </row>
    <row r="20" spans="1:9" x14ac:dyDescent="0.2">
      <c r="A20" s="1603"/>
      <c r="B20" s="584"/>
      <c r="C20" s="584"/>
      <c r="D20" s="581">
        <f t="shared" si="0"/>
        <v>44040000</v>
      </c>
      <c r="E20" s="585"/>
      <c r="F20" s="294" t="str">
        <f t="shared" si="1"/>
        <v/>
      </c>
      <c r="G20" s="583" t="str">
        <f t="shared" si="2"/>
        <v/>
      </c>
    </row>
    <row r="21" spans="1:9" x14ac:dyDescent="0.2">
      <c r="A21" s="1603"/>
      <c r="B21" s="584"/>
      <c r="C21" s="584"/>
      <c r="D21" s="581">
        <f t="shared" si="0"/>
        <v>44040000</v>
      </c>
      <c r="E21" s="585"/>
      <c r="F21" s="294" t="str">
        <f t="shared" si="1"/>
        <v/>
      </c>
      <c r="G21" s="583" t="str">
        <f t="shared" si="2"/>
        <v/>
      </c>
      <c r="I21" s="587"/>
    </row>
    <row r="22" spans="1:9" x14ac:dyDescent="0.2">
      <c r="A22" s="1603"/>
      <c r="B22" s="584"/>
      <c r="C22" s="584"/>
      <c r="D22" s="581">
        <f t="shared" si="0"/>
        <v>44040000</v>
      </c>
      <c r="E22" s="585"/>
      <c r="F22" s="294" t="str">
        <f t="shared" si="1"/>
        <v/>
      </c>
      <c r="G22" s="583" t="str">
        <f t="shared" si="2"/>
        <v/>
      </c>
    </row>
    <row r="23" spans="1:9" x14ac:dyDescent="0.2">
      <c r="A23" s="1603"/>
      <c r="B23" s="584"/>
      <c r="C23" s="584"/>
      <c r="D23" s="581">
        <f t="shared" si="0"/>
        <v>44040000</v>
      </c>
      <c r="E23" s="585"/>
      <c r="F23" s="294" t="str">
        <f t="shared" si="1"/>
        <v/>
      </c>
      <c r="G23" s="583" t="str">
        <f t="shared" si="2"/>
        <v/>
      </c>
    </row>
    <row r="24" spans="1:9" x14ac:dyDescent="0.2">
      <c r="A24" s="1603"/>
      <c r="B24" s="584"/>
      <c r="C24" s="584"/>
      <c r="D24" s="581">
        <f t="shared" si="0"/>
        <v>44040000</v>
      </c>
      <c r="E24" s="585"/>
      <c r="F24" s="294" t="str">
        <f t="shared" si="1"/>
        <v/>
      </c>
      <c r="G24" s="583" t="str">
        <f t="shared" si="2"/>
        <v/>
      </c>
    </row>
    <row r="25" spans="1:9" x14ac:dyDescent="0.2">
      <c r="A25" s="1603"/>
      <c r="B25" s="584"/>
      <c r="C25" s="584"/>
      <c r="D25" s="581">
        <f t="shared" si="0"/>
        <v>44040000</v>
      </c>
      <c r="E25" s="585"/>
      <c r="F25" s="294" t="str">
        <f t="shared" si="1"/>
        <v/>
      </c>
      <c r="G25" s="583" t="str">
        <f t="shared" si="2"/>
        <v/>
      </c>
    </row>
    <row r="26" spans="1:9" x14ac:dyDescent="0.2">
      <c r="A26" s="1603"/>
      <c r="B26" s="584"/>
      <c r="C26" s="584"/>
      <c r="D26" s="581">
        <f t="shared" si="0"/>
        <v>44040000</v>
      </c>
      <c r="E26" s="585"/>
      <c r="F26" s="294" t="str">
        <f t="shared" si="1"/>
        <v/>
      </c>
      <c r="G26" s="583" t="str">
        <f t="shared" si="2"/>
        <v/>
      </c>
    </row>
    <row r="27" spans="1:9" x14ac:dyDescent="0.2">
      <c r="A27" s="1603"/>
      <c r="B27" s="584"/>
      <c r="C27" s="584"/>
      <c r="D27" s="581">
        <f t="shared" si="0"/>
        <v>44040000</v>
      </c>
      <c r="E27" s="585"/>
      <c r="F27" s="294" t="str">
        <f t="shared" si="1"/>
        <v/>
      </c>
      <c r="G27" s="583" t="str">
        <f t="shared" si="2"/>
        <v/>
      </c>
    </row>
    <row r="28" spans="1:9" x14ac:dyDescent="0.2">
      <c r="A28" s="1603"/>
      <c r="B28" s="584"/>
      <c r="C28" s="584"/>
      <c r="D28" s="581">
        <f t="shared" si="0"/>
        <v>44040000</v>
      </c>
      <c r="E28" s="585"/>
      <c r="F28" s="294" t="str">
        <f t="shared" si="1"/>
        <v/>
      </c>
      <c r="G28" s="583" t="str">
        <f t="shared" si="2"/>
        <v/>
      </c>
    </row>
    <row r="29" spans="1:9" x14ac:dyDescent="0.2">
      <c r="A29" s="1603"/>
      <c r="B29" s="584"/>
      <c r="C29" s="584"/>
      <c r="D29" s="581">
        <f t="shared" si="0"/>
        <v>44040000</v>
      </c>
      <c r="E29" s="585"/>
      <c r="F29" s="294" t="str">
        <f t="shared" si="1"/>
        <v/>
      </c>
      <c r="G29" s="583" t="str">
        <f t="shared" si="2"/>
        <v/>
      </c>
    </row>
    <row r="30" spans="1:9" x14ac:dyDescent="0.2">
      <c r="A30" s="1603"/>
      <c r="B30" s="584"/>
      <c r="C30" s="584"/>
      <c r="D30" s="581">
        <f t="shared" si="0"/>
        <v>44040000</v>
      </c>
      <c r="E30" s="585"/>
      <c r="F30" s="294" t="str">
        <f t="shared" si="1"/>
        <v/>
      </c>
      <c r="G30" s="583" t="str">
        <f t="shared" si="2"/>
        <v/>
      </c>
    </row>
    <row r="31" spans="1:9" x14ac:dyDescent="0.2">
      <c r="A31" s="1603"/>
      <c r="B31" s="584"/>
      <c r="C31" s="584"/>
      <c r="D31" s="581">
        <f t="shared" si="0"/>
        <v>44040000</v>
      </c>
      <c r="E31" s="585"/>
      <c r="F31" s="294" t="str">
        <f t="shared" si="1"/>
        <v/>
      </c>
      <c r="G31" s="583" t="str">
        <f t="shared" si="2"/>
        <v/>
      </c>
    </row>
    <row r="32" spans="1:9" x14ac:dyDescent="0.2">
      <c r="A32" s="1603"/>
      <c r="B32" s="584"/>
      <c r="C32" s="584"/>
      <c r="D32" s="581">
        <f t="shared" si="0"/>
        <v>44040000</v>
      </c>
      <c r="E32" s="585"/>
      <c r="F32" s="294" t="str">
        <f t="shared" si="1"/>
        <v/>
      </c>
      <c r="G32" s="583" t="str">
        <f t="shared" si="2"/>
        <v/>
      </c>
    </row>
    <row r="33" spans="1:7" x14ac:dyDescent="0.2">
      <c r="A33" s="1603"/>
      <c r="B33" s="584"/>
      <c r="C33" s="584"/>
      <c r="D33" s="581">
        <f t="shared" si="0"/>
        <v>44040000</v>
      </c>
      <c r="E33" s="585"/>
      <c r="F33" s="294" t="str">
        <f t="shared" si="1"/>
        <v/>
      </c>
      <c r="G33" s="583" t="str">
        <f t="shared" si="2"/>
        <v/>
      </c>
    </row>
    <row r="34" spans="1:7" x14ac:dyDescent="0.2">
      <c r="A34" s="1603"/>
      <c r="B34" s="584"/>
      <c r="C34" s="584"/>
      <c r="D34" s="581">
        <f t="shared" si="0"/>
        <v>44040000</v>
      </c>
      <c r="E34" s="585"/>
      <c r="F34" s="294" t="str">
        <f t="shared" si="1"/>
        <v/>
      </c>
      <c r="G34" s="583" t="str">
        <f t="shared" si="2"/>
        <v/>
      </c>
    </row>
    <row r="35" spans="1:7" x14ac:dyDescent="0.2">
      <c r="A35" s="1604"/>
      <c r="B35" s="584"/>
      <c r="C35" s="584"/>
      <c r="D35" s="581">
        <f t="shared" si="0"/>
        <v>44040000</v>
      </c>
      <c r="E35" s="585"/>
      <c r="F35" s="294" t="str">
        <f t="shared" si="1"/>
        <v/>
      </c>
      <c r="G35" s="583" t="str">
        <f t="shared" si="2"/>
        <v/>
      </c>
    </row>
  </sheetData>
  <mergeCells count="1">
    <mergeCell ref="A6:A35"/>
  </mergeCells>
  <dataValidations count="3">
    <dataValidation allowBlank="1" showInputMessage="1" showErrorMessage="1" prompt="Digite el valor de los abonos a los prestamos (Pagos del socio o accionista a la empresa durante el año gravable" sqref="C7:C35" xr:uid="{00000000-0002-0000-1B00-000000000000}"/>
    <dataValidation allowBlank="1" showInputMessage="1" showErrorMessage="1" promptTitle="dd/mm/aaaa" prompt="Digite la fecha del nuevo prestamo o el abono durante el año gravable_x000a_" sqref="E7:E35" xr:uid="{00000000-0002-0000-1B00-000001000000}"/>
    <dataValidation allowBlank="1" showInputMessage="1" showErrorMessage="1" prompt="Digite el valor de los nuevos prestamos otorgados al socio o accionista durante el año gravable" sqref="B7:B35" xr:uid="{00000000-0002-0000-1B00-000002000000}"/>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F22"/>
  <sheetViews>
    <sheetView showGridLines="0" topLeftCell="A13" zoomScale="130" zoomScaleNormal="130" workbookViewId="0">
      <selection activeCell="A17" sqref="A17"/>
    </sheetView>
  </sheetViews>
  <sheetFormatPr baseColWidth="10" defaultRowHeight="12.75" x14ac:dyDescent="0.2"/>
  <cols>
    <col min="1" max="1" width="47.140625" style="190" customWidth="1"/>
    <col min="2" max="2" width="12.140625" style="190" bestFit="1" customWidth="1"/>
    <col min="3" max="3" width="21.140625" style="190" bestFit="1" customWidth="1"/>
    <col min="4" max="4" width="13.7109375" style="190" customWidth="1"/>
    <col min="5" max="5" width="12.5703125" style="190" bestFit="1" customWidth="1"/>
    <col min="6" max="16384" width="11.42578125" style="190"/>
  </cols>
  <sheetData>
    <row r="1" spans="1:6" x14ac:dyDescent="0.2">
      <c r="A1" s="1605" t="s">
        <v>1267</v>
      </c>
      <c r="B1" s="1606"/>
      <c r="C1" s="1606"/>
      <c r="D1" s="1606"/>
      <c r="E1" s="1607"/>
    </row>
    <row r="2" spans="1:6" x14ac:dyDescent="0.2">
      <c r="B2" s="197"/>
      <c r="C2" s="197"/>
      <c r="D2" s="197"/>
    </row>
    <row r="3" spans="1:6" x14ac:dyDescent="0.2">
      <c r="A3" s="588"/>
      <c r="C3" s="291" t="s">
        <v>1268</v>
      </c>
    </row>
    <row r="4" spans="1:6" x14ac:dyDescent="0.2">
      <c r="A4" s="589" t="s">
        <v>1269</v>
      </c>
      <c r="B4" s="590"/>
      <c r="C4" s="296">
        <f>+'110 Renta 20x3'!Q34</f>
        <v>0</v>
      </c>
    </row>
    <row r="5" spans="1:6" x14ac:dyDescent="0.2">
      <c r="A5" s="591"/>
      <c r="B5" s="592"/>
      <c r="C5" s="593"/>
    </row>
    <row r="6" spans="1:6" x14ac:dyDescent="0.2">
      <c r="A6" s="589" t="s">
        <v>1270</v>
      </c>
      <c r="B6" s="590"/>
      <c r="C6" s="296">
        <f>+RP!C3</f>
        <v>13000000000</v>
      </c>
    </row>
    <row r="7" spans="1:6" x14ac:dyDescent="0.2">
      <c r="A7" s="594" t="s">
        <v>2116</v>
      </c>
      <c r="B7" s="595"/>
      <c r="C7" s="596">
        <f>+C4-C6</f>
        <v>-13000000000</v>
      </c>
    </row>
    <row r="8" spans="1:6" x14ac:dyDescent="0.2">
      <c r="A8" s="598" t="s">
        <v>1271</v>
      </c>
      <c r="B8" s="601"/>
      <c r="C8" s="597"/>
    </row>
    <row r="9" spans="1:6" x14ac:dyDescent="0.2">
      <c r="A9" s="598" t="s">
        <v>1272</v>
      </c>
      <c r="B9" s="599"/>
      <c r="C9" s="600"/>
      <c r="D9" s="190" t="s">
        <v>2100</v>
      </c>
    </row>
    <row r="10" spans="1:6" x14ac:dyDescent="0.2">
      <c r="A10" s="598" t="s">
        <v>1273</v>
      </c>
      <c r="B10" s="601"/>
      <c r="C10" s="602">
        <v>0</v>
      </c>
    </row>
    <row r="11" spans="1:6" x14ac:dyDescent="0.2">
      <c r="A11" s="603" t="s">
        <v>1274</v>
      </c>
      <c r="B11" s="604"/>
      <c r="C11" s="605">
        <f>+C7-C9-C10</f>
        <v>-13000000000</v>
      </c>
      <c r="D11" s="197">
        <v>1</v>
      </c>
    </row>
    <row r="12" spans="1:6" x14ac:dyDescent="0.2">
      <c r="A12" s="606" t="s">
        <v>1275</v>
      </c>
      <c r="B12" s="607"/>
      <c r="C12" s="608"/>
      <c r="D12" s="197"/>
      <c r="E12" s="318"/>
    </row>
    <row r="13" spans="1:6" x14ac:dyDescent="0.2">
      <c r="A13" s="598" t="s">
        <v>740</v>
      </c>
      <c r="B13" s="601"/>
      <c r="C13" s="597">
        <f>+'110 Renta 20x3'!AL27</f>
        <v>0</v>
      </c>
      <c r="D13" s="240"/>
    </row>
    <row r="14" spans="1:6" x14ac:dyDescent="0.2">
      <c r="A14" s="598" t="s">
        <v>100</v>
      </c>
      <c r="B14" s="601"/>
      <c r="C14" s="597"/>
      <c r="D14" s="197"/>
      <c r="E14" s="197"/>
      <c r="F14" s="190" t="s">
        <v>0</v>
      </c>
    </row>
    <row r="15" spans="1:6" x14ac:dyDescent="0.2">
      <c r="A15" s="598" t="s">
        <v>1276</v>
      </c>
      <c r="B15" s="601"/>
      <c r="C15" s="597"/>
      <c r="D15" s="197"/>
    </row>
    <row r="16" spans="1:6" x14ac:dyDescent="0.2">
      <c r="A16" s="598" t="s">
        <v>2101</v>
      </c>
      <c r="B16" s="601"/>
      <c r="C16" s="600"/>
      <c r="D16" s="197"/>
      <c r="E16" s="241"/>
    </row>
    <row r="17" spans="1:5" x14ac:dyDescent="0.2">
      <c r="A17" s="598" t="s">
        <v>1277</v>
      </c>
      <c r="B17" s="601"/>
      <c r="C17" s="597"/>
      <c r="D17" s="197"/>
    </row>
    <row r="18" spans="1:5" x14ac:dyDescent="0.2">
      <c r="A18" s="603" t="s">
        <v>1278</v>
      </c>
      <c r="B18" s="604"/>
      <c r="C18" s="609">
        <f>+SUM(C13:C17)</f>
        <v>0</v>
      </c>
      <c r="D18" s="197"/>
      <c r="E18" s="197"/>
    </row>
    <row r="19" spans="1:5" x14ac:dyDescent="0.2">
      <c r="A19" s="598" t="s">
        <v>1279</v>
      </c>
      <c r="B19" s="601"/>
      <c r="C19" s="597"/>
      <c r="D19" s="197"/>
    </row>
    <row r="20" spans="1:5" x14ac:dyDescent="0.2">
      <c r="A20" s="598" t="s">
        <v>1280</v>
      </c>
      <c r="B20" s="601"/>
      <c r="C20" s="597">
        <f>'110 Renta 20x3'!AL42</f>
        <v>0</v>
      </c>
      <c r="D20" s="197"/>
      <c r="E20" s="197"/>
    </row>
    <row r="21" spans="1:5" x14ac:dyDescent="0.2">
      <c r="A21" s="603" t="s">
        <v>1281</v>
      </c>
      <c r="B21" s="610"/>
      <c r="C21" s="605">
        <f>+C18-C20</f>
        <v>0</v>
      </c>
      <c r="D21" s="190">
        <v>2</v>
      </c>
      <c r="E21" s="197"/>
    </row>
    <row r="22" spans="1:5" x14ac:dyDescent="0.2">
      <c r="A22" s="603" t="s">
        <v>1282</v>
      </c>
      <c r="B22" s="604"/>
      <c r="C22" s="609">
        <f>+C11-C21</f>
        <v>-13000000000</v>
      </c>
      <c r="D22" s="1113" t="str">
        <f>+IF((C22&lt;0),"Justificado patrimonialmente","OJO Revisar, la diferencia no esta justificada")</f>
        <v>Justificado patrimonialmente</v>
      </c>
    </row>
  </sheetData>
  <mergeCells count="1">
    <mergeCell ref="A1:E1"/>
  </mergeCells>
  <dataValidations count="2">
    <dataValidation allowBlank="1" showInputMessage="1" showErrorMessage="1" prompt="Reajuste fiscal AF; Dif. Avaluo catastral; valorización aportes voluntarios pensiones" sqref="C9" xr:uid="{00000000-0002-0000-1C00-000000000000}"/>
    <dataValidation allowBlank="1" showInputMessage="1" showErrorMessage="1" prompt="Digite el numero 1 en esta celda  para  no limitar las rentas exentas de forma propocional." sqref="B16" xr:uid="{00000000-0002-0000-1C00-000001000000}"/>
  </dataValidation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E19"/>
  <sheetViews>
    <sheetView showGridLines="0" zoomScale="150" zoomScaleNormal="150" workbookViewId="0">
      <selection activeCell="C5" sqref="C5"/>
    </sheetView>
  </sheetViews>
  <sheetFormatPr baseColWidth="10" defaultRowHeight="12.75" x14ac:dyDescent="0.2"/>
  <cols>
    <col min="1" max="1" width="47.140625" style="190" customWidth="1"/>
    <col min="2" max="2" width="12.140625" style="190" bestFit="1" customWidth="1"/>
    <col min="3" max="3" width="17.140625" style="190" customWidth="1"/>
    <col min="4" max="4" width="13.7109375" style="190" customWidth="1"/>
    <col min="5" max="16384" width="11.42578125" style="190"/>
  </cols>
  <sheetData>
    <row r="1" spans="1:5" x14ac:dyDescent="0.2">
      <c r="B1" s="197"/>
      <c r="C1" s="197"/>
      <c r="D1" s="197"/>
    </row>
    <row r="2" spans="1:5" x14ac:dyDescent="0.2">
      <c r="B2" s="197"/>
      <c r="C2" s="197"/>
      <c r="D2" s="197"/>
    </row>
    <row r="4" spans="1:5" x14ac:dyDescent="0.2">
      <c r="A4" s="1612" t="s">
        <v>1027</v>
      </c>
      <c r="B4" s="1612"/>
      <c r="C4" s="611"/>
    </row>
    <row r="5" spans="1:5" x14ac:dyDescent="0.2">
      <c r="A5" s="1608" t="s">
        <v>1283</v>
      </c>
      <c r="B5" s="1608"/>
      <c r="C5" s="612">
        <f>+'110 Renta 20x3'!AL42</f>
        <v>0</v>
      </c>
      <c r="D5" s="613" t="s">
        <v>1284</v>
      </c>
    </row>
    <row r="6" spans="1:5" x14ac:dyDescent="0.2">
      <c r="A6" s="1615">
        <v>0.75</v>
      </c>
      <c r="B6" s="1615"/>
      <c r="C6" s="611">
        <f>ROUND(+C5*A6,-3)</f>
        <v>0</v>
      </c>
      <c r="D6" s="613"/>
    </row>
    <row r="7" spans="1:5" x14ac:dyDescent="0.2">
      <c r="A7" s="1608" t="s">
        <v>2136</v>
      </c>
      <c r="B7" s="1608"/>
      <c r="C7" s="611">
        <f>+'110 Renta 20x3'!AL53</f>
        <v>61650000</v>
      </c>
      <c r="D7" s="613"/>
    </row>
    <row r="8" spans="1:5" x14ac:dyDescent="0.2">
      <c r="A8" s="1609" t="s">
        <v>1285</v>
      </c>
      <c r="B8" s="1609"/>
      <c r="C8" s="614">
        <f>IF(C6-C7&lt;0,0,C6-C7)</f>
        <v>0</v>
      </c>
      <c r="D8" s="240"/>
    </row>
    <row r="9" spans="1:5" x14ac:dyDescent="0.2">
      <c r="A9" s="291"/>
      <c r="B9" s="291"/>
      <c r="C9" s="615"/>
      <c r="E9" s="241">
        <v>0.125</v>
      </c>
    </row>
    <row r="10" spans="1:5" x14ac:dyDescent="0.2">
      <c r="A10" s="1612" t="s">
        <v>1028</v>
      </c>
      <c r="B10" s="1612"/>
      <c r="C10" s="611"/>
    </row>
    <row r="11" spans="1:5" x14ac:dyDescent="0.2">
      <c r="A11" s="1608" t="s">
        <v>1286</v>
      </c>
      <c r="B11" s="1608"/>
      <c r="C11" s="611">
        <v>2120000000</v>
      </c>
    </row>
    <row r="12" spans="1:5" x14ac:dyDescent="0.2">
      <c r="A12" s="1608" t="s">
        <v>1287</v>
      </c>
      <c r="B12" s="1608"/>
      <c r="C12" s="611">
        <f>+C5</f>
        <v>0</v>
      </c>
    </row>
    <row r="13" spans="1:5" x14ac:dyDescent="0.2">
      <c r="A13" s="1613" t="s">
        <v>1288</v>
      </c>
      <c r="B13" s="1613"/>
      <c r="C13" s="616">
        <f>+C11+C12</f>
        <v>2120000000</v>
      </c>
    </row>
    <row r="14" spans="1:5" x14ac:dyDescent="0.2">
      <c r="A14" s="1614" t="s">
        <v>1289</v>
      </c>
      <c r="B14" s="1614"/>
      <c r="C14" s="611">
        <f>ROUND(+C13/2,-3)</f>
        <v>1060000000</v>
      </c>
    </row>
    <row r="15" spans="1:5" x14ac:dyDescent="0.2">
      <c r="A15" s="1615">
        <f>A6</f>
        <v>0.75</v>
      </c>
      <c r="B15" s="1615"/>
      <c r="C15" s="611">
        <f>IF(A15&gt;25%,C14*A15,0)</f>
        <v>795000000</v>
      </c>
    </row>
    <row r="16" spans="1:5" x14ac:dyDescent="0.2">
      <c r="A16" s="1608" t="s">
        <v>2136</v>
      </c>
      <c r="B16" s="1608"/>
      <c r="C16" s="611">
        <f>+C7</f>
        <v>61650000</v>
      </c>
    </row>
    <row r="17" spans="1:3" x14ac:dyDescent="0.2">
      <c r="A17" s="1609" t="s">
        <v>1290</v>
      </c>
      <c r="B17" s="1609"/>
      <c r="C17" s="614">
        <f>IF(C15-C16&lt;0,0,C15-C16)</f>
        <v>733350000</v>
      </c>
    </row>
    <row r="18" spans="1:3" x14ac:dyDescent="0.2">
      <c r="A18" s="291"/>
      <c r="B18" s="291"/>
      <c r="C18" s="615"/>
    </row>
    <row r="19" spans="1:3" x14ac:dyDescent="0.2">
      <c r="A19" s="1610" t="s">
        <v>1291</v>
      </c>
      <c r="B19" s="1611"/>
      <c r="C19" s="617">
        <f>IF(A6=25%,C8,MIN(C8,C17))</f>
        <v>0</v>
      </c>
    </row>
  </sheetData>
  <mergeCells count="14">
    <mergeCell ref="A4:B4"/>
    <mergeCell ref="A5:B5"/>
    <mergeCell ref="A6:B6"/>
    <mergeCell ref="A7:B7"/>
    <mergeCell ref="A8:B8"/>
    <mergeCell ref="A16:B16"/>
    <mergeCell ref="A17:B17"/>
    <mergeCell ref="A19:B19"/>
    <mergeCell ref="A10:B10"/>
    <mergeCell ref="A11:B11"/>
    <mergeCell ref="A12:B12"/>
    <mergeCell ref="A13:B13"/>
    <mergeCell ref="A14:B14"/>
    <mergeCell ref="A15:B15"/>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3:D28"/>
  <sheetViews>
    <sheetView showGridLines="0" zoomScaleNormal="100" workbookViewId="0">
      <selection activeCell="B16" sqref="B16"/>
    </sheetView>
  </sheetViews>
  <sheetFormatPr baseColWidth="10" defaultRowHeight="12.75" x14ac:dyDescent="0.2"/>
  <cols>
    <col min="1" max="1" width="57.7109375" style="190" customWidth="1"/>
    <col min="2" max="2" width="15.85546875" style="190" customWidth="1"/>
    <col min="3" max="3" width="15.5703125" style="190" customWidth="1"/>
    <col min="4" max="4" width="15.140625" style="190" customWidth="1"/>
    <col min="5" max="5" width="12.85546875" style="190" bestFit="1" customWidth="1"/>
    <col min="6" max="16384" width="11.42578125" style="190"/>
  </cols>
  <sheetData>
    <row r="3" spans="1:4" x14ac:dyDescent="0.2">
      <c r="A3" s="1616" t="s">
        <v>1270</v>
      </c>
      <c r="B3" s="1616"/>
      <c r="C3" s="618">
        <v>13000000000</v>
      </c>
      <c r="D3" s="190" t="s">
        <v>2088</v>
      </c>
    </row>
    <row r="4" spans="1:4" x14ac:dyDescent="0.2">
      <c r="A4" s="1616" t="s">
        <v>1292</v>
      </c>
      <c r="B4" s="1616"/>
      <c r="C4" s="618">
        <v>21000000000</v>
      </c>
      <c r="D4" s="190" t="s">
        <v>2088</v>
      </c>
    </row>
    <row r="5" spans="1:4" x14ac:dyDescent="0.2">
      <c r="A5" s="1616" t="s">
        <v>1293</v>
      </c>
      <c r="B5" s="1616"/>
      <c r="C5" s="619">
        <f>IFERROR((C3/C4),0)</f>
        <v>0.61904761904761907</v>
      </c>
    </row>
    <row r="6" spans="1:4" x14ac:dyDescent="0.2">
      <c r="A6" s="291"/>
      <c r="B6" s="291"/>
      <c r="C6" s="291"/>
    </row>
    <row r="7" spans="1:4" x14ac:dyDescent="0.2">
      <c r="A7" s="620" t="s">
        <v>1279</v>
      </c>
      <c r="B7" s="291"/>
      <c r="C7" s="291"/>
    </row>
    <row r="8" spans="1:4" x14ac:dyDescent="0.2">
      <c r="A8" s="291"/>
      <c r="B8" s="291"/>
      <c r="C8" s="291"/>
    </row>
    <row r="9" spans="1:4" ht="25.5" x14ac:dyDescent="0.2">
      <c r="A9" s="621" t="s">
        <v>1294</v>
      </c>
      <c r="B9" s="622">
        <f>+Acciones!D31</f>
        <v>2781752000</v>
      </c>
      <c r="C9" s="618">
        <f>+C5*B9</f>
        <v>1722036952.3809524</v>
      </c>
    </row>
    <row r="10" spans="1:4" ht="25.5" x14ac:dyDescent="0.2">
      <c r="A10" s="621" t="s">
        <v>1295</v>
      </c>
      <c r="B10" s="622"/>
      <c r="C10" s="618">
        <v>0</v>
      </c>
    </row>
    <row r="11" spans="1:4" ht="25.5" x14ac:dyDescent="0.2">
      <c r="A11" s="621" t="s">
        <v>1296</v>
      </c>
      <c r="B11" s="622"/>
      <c r="C11" s="618">
        <v>0</v>
      </c>
    </row>
    <row r="12" spans="1:4" ht="25.5" x14ac:dyDescent="0.2">
      <c r="A12" s="621" t="s">
        <v>1297</v>
      </c>
      <c r="B12" s="622"/>
      <c r="C12" s="618">
        <v>0</v>
      </c>
    </row>
    <row r="13" spans="1:4" ht="25.5" x14ac:dyDescent="0.2">
      <c r="A13" s="621" t="s">
        <v>1298</v>
      </c>
      <c r="B13" s="622">
        <v>0</v>
      </c>
      <c r="C13" s="618"/>
      <c r="D13" s="190" t="s">
        <v>1299</v>
      </c>
    </row>
    <row r="14" spans="1:4" x14ac:dyDescent="0.2">
      <c r="A14" s="623" t="s">
        <v>1300</v>
      </c>
      <c r="B14" s="618"/>
      <c r="C14" s="624">
        <f>+C3-C9-C10-C11-C12-C13</f>
        <v>11277963047.619047</v>
      </c>
    </row>
    <row r="15" spans="1:4" x14ac:dyDescent="0.2">
      <c r="A15" s="625" t="s">
        <v>1029</v>
      </c>
      <c r="B15" s="619">
        <v>0</v>
      </c>
      <c r="C15" s="618">
        <f>IF(C14&lt;0,0,C14*B15)</f>
        <v>0</v>
      </c>
      <c r="D15" s="240"/>
    </row>
    <row r="16" spans="1:4" x14ac:dyDescent="0.2">
      <c r="A16" s="625" t="s">
        <v>1301</v>
      </c>
      <c r="B16" s="625"/>
      <c r="C16" s="626">
        <v>0</v>
      </c>
    </row>
    <row r="17" spans="1:3" x14ac:dyDescent="0.2">
      <c r="A17" s="1090" t="s">
        <v>1029</v>
      </c>
      <c r="B17" s="627"/>
      <c r="C17" s="628">
        <f>+C15+C16</f>
        <v>0</v>
      </c>
    </row>
    <row r="19" spans="1:3" x14ac:dyDescent="0.2">
      <c r="C19" s="336"/>
    </row>
    <row r="20" spans="1:3" x14ac:dyDescent="0.2">
      <c r="B20" s="240"/>
    </row>
    <row r="21" spans="1:3" x14ac:dyDescent="0.2">
      <c r="B21" s="240"/>
    </row>
    <row r="22" spans="1:3" x14ac:dyDescent="0.2">
      <c r="B22" s="240"/>
    </row>
    <row r="23" spans="1:3" x14ac:dyDescent="0.2">
      <c r="B23" s="240"/>
    </row>
    <row r="24" spans="1:3" x14ac:dyDescent="0.2">
      <c r="B24" s="240"/>
    </row>
    <row r="25" spans="1:3" x14ac:dyDescent="0.2">
      <c r="B25" s="240"/>
    </row>
    <row r="26" spans="1:3" x14ac:dyDescent="0.2">
      <c r="B26" s="240"/>
    </row>
    <row r="27" spans="1:3" x14ac:dyDescent="0.2">
      <c r="B27" s="240"/>
    </row>
    <row r="28" spans="1:3" x14ac:dyDescent="0.2">
      <c r="A28" s="15"/>
      <c r="B28" s="339"/>
    </row>
  </sheetData>
  <mergeCells count="3">
    <mergeCell ref="A3:B3"/>
    <mergeCell ref="A4:B4"/>
    <mergeCell ref="A5:B5"/>
  </mergeCells>
  <dataValidations xWindow="1261" yWindow="509" count="3">
    <dataValidation allowBlank="1" showInputMessage="1" showErrorMessage="1" prompt="Digite el 100% del valor,  el aplicativo calculará el valor patrimonial neto." sqref="B9:B11" xr:uid="{00000000-0002-0000-1E00-000000000000}"/>
    <dataValidation allowBlank="1" showInputMessage="1" showErrorMessage="1" prompt="Digite el 100% del valor distinto a explotación de hidrocarburos líquidos y gaseosos,  &quot;el aplicativo calculará el valor patrimonial neto&quot;." sqref="B12" xr:uid="{00000000-0002-0000-1E00-000001000000}"/>
    <dataValidation allowBlank="1" showInputMessage="1" showErrorMessage="1" prompt="Digite si tiene rentas generadas por los activos exeptuados" sqref="C16" xr:uid="{00000000-0002-0000-1E00-000002000000}"/>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XFD20044"/>
  <sheetViews>
    <sheetView topLeftCell="G14" workbookViewId="0">
      <selection activeCell="M83" sqref="M83"/>
    </sheetView>
  </sheetViews>
  <sheetFormatPr baseColWidth="10" defaultColWidth="0" defaultRowHeight="12.75" outlineLevelRow="1" x14ac:dyDescent="0.2"/>
  <cols>
    <col min="1" max="1" width="1.140625" style="291" customWidth="1"/>
    <col min="2" max="2" width="6.85546875" style="291" hidden="1"/>
    <col min="3" max="3" width="3.7109375" style="291" hidden="1"/>
    <col min="4" max="4" width="10.85546875" style="291" customWidth="1"/>
    <col min="5" max="5" width="3.5703125" style="291" bestFit="1" customWidth="1"/>
    <col min="6" max="6" width="31.5703125" style="291" customWidth="1"/>
    <col min="7" max="7" width="23.5703125" style="291" customWidth="1"/>
    <col min="8" max="8" width="16.42578125" style="291" customWidth="1"/>
    <col min="9" max="11" width="15.85546875" style="291" bestFit="1" customWidth="1"/>
    <col min="12" max="12" width="27.5703125" style="291" customWidth="1"/>
    <col min="13" max="13" width="17" style="291" customWidth="1"/>
    <col min="14" max="14" width="9.28515625" style="672" customWidth="1"/>
    <col min="15" max="15" width="8.28515625" style="672" bestFit="1" customWidth="1"/>
    <col min="16" max="20" width="0" style="672" hidden="1"/>
    <col min="21" max="16382" width="10.28515625" style="673" hidden="1"/>
    <col min="16383" max="16383" width="7" style="673" hidden="1"/>
    <col min="16384" max="16384" width="16.140625" style="672" customWidth="1"/>
  </cols>
  <sheetData>
    <row r="1" spans="1:20 16383:16384" s="674" customFormat="1" x14ac:dyDescent="0.2">
      <c r="A1" s="291"/>
      <c r="B1" s="291"/>
      <c r="C1" s="291"/>
      <c r="D1" s="291"/>
      <c r="E1" s="291"/>
      <c r="F1" s="291"/>
      <c r="G1" s="291"/>
      <c r="H1" s="291"/>
      <c r="I1" s="291"/>
      <c r="J1" s="291"/>
      <c r="K1" s="291"/>
      <c r="L1" s="291"/>
      <c r="M1" s="291"/>
      <c r="N1" s="672"/>
      <c r="O1" s="672"/>
      <c r="P1" s="672"/>
      <c r="Q1" s="672"/>
      <c r="R1" s="672"/>
      <c r="S1" s="672"/>
      <c r="T1" s="672"/>
      <c r="XFC1" s="673"/>
      <c r="XFD1" s="672"/>
    </row>
    <row r="2" spans="1:20 16383:16384" s="674" customFormat="1" x14ac:dyDescent="0.2">
      <c r="A2" s="291"/>
      <c r="B2" s="291"/>
      <c r="C2" s="291"/>
      <c r="D2" s="291"/>
      <c r="E2" s="291"/>
      <c r="F2" s="291"/>
      <c r="G2" s="291"/>
      <c r="H2" s="291"/>
      <c r="I2" s="291"/>
      <c r="J2" s="291"/>
      <c r="K2" s="291"/>
      <c r="L2" s="291"/>
      <c r="M2" s="291"/>
      <c r="N2" s="672"/>
      <c r="O2" s="672"/>
      <c r="P2" s="672"/>
      <c r="Q2" s="672"/>
      <c r="R2" s="672"/>
      <c r="S2" s="672"/>
      <c r="T2" s="672"/>
      <c r="XFC2" s="673"/>
      <c r="XFD2" s="672"/>
    </row>
    <row r="3" spans="1:20 16383:16384" s="674" customFormat="1" x14ac:dyDescent="0.2">
      <c r="A3" s="291"/>
      <c r="B3" s="291"/>
      <c r="C3" s="291"/>
      <c r="D3" s="291"/>
      <c r="E3" s="291"/>
      <c r="F3" s="291"/>
      <c r="G3" s="291"/>
      <c r="H3" s="291"/>
      <c r="I3" s="291"/>
      <c r="J3" s="291"/>
      <c r="K3" s="291"/>
      <c r="L3" s="291"/>
      <c r="M3" s="291"/>
      <c r="N3" s="672"/>
      <c r="O3" s="672"/>
      <c r="P3" s="672"/>
      <c r="Q3" s="672"/>
      <c r="R3" s="672"/>
      <c r="S3" s="672"/>
      <c r="T3" s="672"/>
      <c r="XFC3" s="673"/>
      <c r="XFD3" s="672"/>
    </row>
    <row r="4" spans="1:20 16383:16384" s="674" customFormat="1" x14ac:dyDescent="0.2">
      <c r="A4" s="291"/>
      <c r="B4" s="291"/>
      <c r="C4" s="291"/>
      <c r="D4" s="291"/>
      <c r="E4" s="291"/>
      <c r="F4" s="291"/>
      <c r="G4" s="291"/>
      <c r="H4" s="291"/>
      <c r="I4" s="291"/>
      <c r="J4" s="291"/>
      <c r="K4" s="291"/>
      <c r="L4" s="291"/>
      <c r="M4" s="291"/>
      <c r="N4" s="672"/>
      <c r="O4" s="672"/>
      <c r="P4" s="672"/>
      <c r="Q4" s="672"/>
      <c r="R4" s="672"/>
      <c r="S4" s="672"/>
      <c r="T4" s="672"/>
      <c r="XFC4" s="673"/>
      <c r="XFD4" s="672"/>
    </row>
    <row r="5" spans="1:20 16383:16384" s="674" customFormat="1" ht="3.75" customHeight="1" x14ac:dyDescent="0.2">
      <c r="A5" s="291"/>
      <c r="B5" s="291"/>
      <c r="C5" s="291"/>
      <c r="D5" s="291"/>
      <c r="E5" s="291"/>
      <c r="F5" s="291"/>
      <c r="G5" s="291"/>
      <c r="H5" s="291"/>
      <c r="I5" s="291"/>
      <c r="J5" s="291"/>
      <c r="K5" s="291"/>
      <c r="L5" s="291"/>
      <c r="M5" s="291"/>
      <c r="N5" s="672"/>
      <c r="O5" s="672"/>
      <c r="P5" s="672"/>
      <c r="Q5" s="672"/>
      <c r="R5" s="672"/>
      <c r="S5" s="672"/>
      <c r="T5" s="672"/>
      <c r="XFC5" s="673"/>
      <c r="XFD5" s="672"/>
    </row>
    <row r="6" spans="1:20 16383:16384" s="674" customFormat="1" x14ac:dyDescent="0.2">
      <c r="A6" s="291"/>
      <c r="B6" s="291"/>
      <c r="C6" s="291"/>
      <c r="D6" s="1627"/>
      <c r="E6" s="1627"/>
      <c r="F6" s="1627"/>
      <c r="G6" s="693" t="s">
        <v>1302</v>
      </c>
      <c r="H6" s="694"/>
      <c r="I6" s="694"/>
      <c r="J6" s="291"/>
      <c r="K6" s="291"/>
      <c r="L6" s="291"/>
      <c r="M6" s="291"/>
      <c r="N6" s="672"/>
      <c r="O6" s="672"/>
      <c r="P6" s="672"/>
      <c r="Q6" s="672"/>
      <c r="R6" s="672"/>
      <c r="S6" s="672"/>
      <c r="T6" s="672"/>
      <c r="XFC6" s="673"/>
      <c r="XFD6" s="672"/>
    </row>
    <row r="7" spans="1:20 16383:16384" s="674" customFormat="1" x14ac:dyDescent="0.2">
      <c r="A7" s="291"/>
      <c r="B7" s="291"/>
      <c r="C7" s="291"/>
      <c r="D7" s="290" t="s">
        <v>1303</v>
      </c>
      <c r="E7" s="290"/>
      <c r="F7" s="290"/>
      <c r="G7" s="673"/>
      <c r="H7" s="673"/>
      <c r="I7" s="290"/>
      <c r="J7" s="291"/>
      <c r="K7" s="291"/>
      <c r="L7" s="291" t="str">
        <f>IF(M508&lt;2000,"","Retenciones sin certificado")</f>
        <v>Retenciones sin certificado</v>
      </c>
      <c r="M7" s="695">
        <f>IF(M508&lt;2000,"",M508)</f>
        <v>4075</v>
      </c>
      <c r="N7" s="672"/>
      <c r="O7" s="672"/>
      <c r="P7" s="672"/>
      <c r="Q7" s="672"/>
      <c r="R7" s="672"/>
      <c r="S7" s="672"/>
      <c r="T7" s="672"/>
      <c r="XFC7" s="673"/>
      <c r="XFD7" s="672"/>
    </row>
    <row r="8" spans="1:20 16383:16384" s="674" customFormat="1" ht="4.5" customHeight="1" x14ac:dyDescent="0.2">
      <c r="A8" s="291"/>
      <c r="B8" s="291"/>
      <c r="C8" s="291"/>
      <c r="D8" s="291"/>
      <c r="E8" s="291"/>
      <c r="F8" s="291"/>
      <c r="G8" s="291"/>
      <c r="H8" s="291"/>
      <c r="I8" s="291"/>
      <c r="J8" s="291"/>
      <c r="K8" s="291"/>
      <c r="L8" s="291"/>
      <c r="M8" s="291"/>
      <c r="N8" s="672"/>
      <c r="O8" s="672"/>
      <c r="P8" s="672"/>
      <c r="Q8" s="672"/>
      <c r="R8" s="672"/>
      <c r="S8" s="672"/>
      <c r="T8" s="672"/>
      <c r="XFC8" s="673"/>
      <c r="XFD8" s="672"/>
    </row>
    <row r="9" spans="1:20 16383:16384" s="674" customFormat="1" x14ac:dyDescent="0.2">
      <c r="A9" s="291"/>
      <c r="B9" s="291"/>
      <c r="C9" s="291"/>
      <c r="D9" s="696" t="s">
        <v>1304</v>
      </c>
      <c r="E9" s="675"/>
      <c r="F9" s="675"/>
      <c r="G9" s="291"/>
      <c r="H9" s="291" t="s">
        <v>1305</v>
      </c>
      <c r="I9" s="291"/>
      <c r="K9" s="291"/>
      <c r="M9" s="291"/>
      <c r="N9" s="672"/>
      <c r="O9" s="672"/>
      <c r="P9" s="672"/>
      <c r="Q9" s="672"/>
      <c r="R9" s="672"/>
      <c r="S9" s="672"/>
      <c r="T9" s="672"/>
      <c r="XFC9" s="673"/>
      <c r="XFD9" s="676" t="s">
        <v>1306</v>
      </c>
    </row>
    <row r="10" spans="1:20 16383:16384" s="700" customFormat="1" ht="3.75" customHeight="1" thickBot="1" x14ac:dyDescent="0.25">
      <c r="A10" s="697"/>
      <c r="B10" s="697"/>
      <c r="C10" s="697"/>
      <c r="D10" s="697"/>
      <c r="E10" s="697"/>
      <c r="F10" s="697"/>
      <c r="G10" s="697"/>
      <c r="H10" s="697"/>
      <c r="I10" s="697"/>
      <c r="J10" s="697"/>
      <c r="K10" s="697"/>
      <c r="L10" s="697"/>
      <c r="M10" s="697"/>
      <c r="N10" s="698"/>
      <c r="O10" s="698"/>
      <c r="P10" s="698"/>
      <c r="Q10" s="698"/>
      <c r="R10" s="698"/>
      <c r="S10" s="698"/>
      <c r="T10" s="698"/>
      <c r="XFC10" s="699"/>
      <c r="XFD10" s="698"/>
    </row>
    <row r="11" spans="1:20 16383:16384" s="674" customFormat="1" ht="13.5" thickBot="1" x14ac:dyDescent="0.25">
      <c r="A11" s="291"/>
      <c r="B11" s="291"/>
      <c r="C11" s="291"/>
      <c r="D11" s="631" t="s">
        <v>1307</v>
      </c>
      <c r="E11" s="632" t="s">
        <v>1308</v>
      </c>
      <c r="F11" s="632" t="s">
        <v>1309</v>
      </c>
      <c r="G11" s="632" t="s">
        <v>1310</v>
      </c>
      <c r="H11" s="632" t="s">
        <v>1311</v>
      </c>
      <c r="I11" s="1628" t="s">
        <v>1312</v>
      </c>
      <c r="J11" s="1629"/>
      <c r="K11" s="633" t="s">
        <v>1313</v>
      </c>
      <c r="L11" s="634" t="s">
        <v>1314</v>
      </c>
      <c r="M11" s="635" t="s">
        <v>1315</v>
      </c>
      <c r="N11" s="672"/>
      <c r="O11" s="672"/>
      <c r="P11" s="672"/>
      <c r="Q11" s="672"/>
      <c r="R11" s="672"/>
      <c r="S11" s="672"/>
      <c r="T11" s="672"/>
      <c r="XFC11" s="677" t="s">
        <v>1316</v>
      </c>
      <c r="XFD11" s="636" t="s">
        <v>1313</v>
      </c>
    </row>
    <row r="12" spans="1:20 16383:16384" s="674" customFormat="1" ht="13.5" thickBot="1" x14ac:dyDescent="0.25">
      <c r="A12" s="291"/>
      <c r="B12" s="291"/>
      <c r="C12" s="637">
        <v>0</v>
      </c>
      <c r="D12" s="638">
        <v>891100252</v>
      </c>
      <c r="E12" s="639">
        <v>0</v>
      </c>
      <c r="F12" s="640" t="s">
        <v>2102</v>
      </c>
      <c r="G12" s="640" t="s">
        <v>2103</v>
      </c>
      <c r="H12" s="640" t="s">
        <v>2104</v>
      </c>
      <c r="I12" s="1623">
        <v>1125000000</v>
      </c>
      <c r="J12" s="1624"/>
      <c r="K12" s="1114">
        <f>+I12*4.5/1000</f>
        <v>5062500</v>
      </c>
      <c r="L12" s="1114" t="s">
        <v>2105</v>
      </c>
      <c r="M12" s="642">
        <v>3500126356254</v>
      </c>
      <c r="N12" s="672"/>
      <c r="O12" s="672"/>
      <c r="P12" s="672"/>
      <c r="Q12" s="672"/>
      <c r="R12" s="672"/>
      <c r="S12" s="672"/>
      <c r="T12" s="672"/>
      <c r="XFC12" s="674">
        <f>IF(AND(K12&gt;0,L12=""),1,0)</f>
        <v>0</v>
      </c>
      <c r="XFD12" s="678">
        <f>+K12</f>
        <v>5062500</v>
      </c>
    </row>
    <row r="13" spans="1:20 16383:16384" s="674" customFormat="1" ht="13.5" thickBot="1" x14ac:dyDescent="0.25">
      <c r="A13" s="291"/>
      <c r="B13" s="291"/>
      <c r="C13" s="637">
        <v>0</v>
      </c>
      <c r="D13" s="638">
        <v>891100252</v>
      </c>
      <c r="E13" s="644">
        <v>0</v>
      </c>
      <c r="F13" s="640" t="s">
        <v>2102</v>
      </c>
      <c r="G13" s="640" t="s">
        <v>2103</v>
      </c>
      <c r="H13" s="640" t="s">
        <v>2104</v>
      </c>
      <c r="I13" s="1623">
        <v>1256000000</v>
      </c>
      <c r="J13" s="1624"/>
      <c r="K13" s="1114">
        <f t="shared" ref="K13:K22" si="0">+I13*4.5/1000</f>
        <v>5652000</v>
      </c>
      <c r="L13" s="1114" t="s">
        <v>2105</v>
      </c>
      <c r="M13" s="642">
        <v>3500126356255</v>
      </c>
      <c r="N13" s="672"/>
      <c r="O13" s="672"/>
      <c r="P13" s="672"/>
      <c r="Q13" s="672"/>
      <c r="R13" s="672"/>
      <c r="S13" s="672"/>
      <c r="T13" s="672"/>
      <c r="XFC13" s="674">
        <f t="shared" ref="XFC13:XFC71" si="1">IF(AND(K13&gt;0,L13=""),1,0)</f>
        <v>0</v>
      </c>
      <c r="XFD13" s="678">
        <f t="shared" ref="XFD13:XFD71" si="2">+K13</f>
        <v>5652000</v>
      </c>
    </row>
    <row r="14" spans="1:20 16383:16384" s="674" customFormat="1" ht="13.5" thickBot="1" x14ac:dyDescent="0.25">
      <c r="A14" s="291"/>
      <c r="B14" s="291"/>
      <c r="C14" s="637">
        <v>0</v>
      </c>
      <c r="D14" s="638">
        <v>891100252</v>
      </c>
      <c r="E14" s="644">
        <v>0</v>
      </c>
      <c r="F14" s="640" t="s">
        <v>2102</v>
      </c>
      <c r="G14" s="640" t="s">
        <v>2103</v>
      </c>
      <c r="H14" s="640" t="s">
        <v>2104</v>
      </c>
      <c r="I14" s="1623">
        <v>1125000000</v>
      </c>
      <c r="J14" s="1624"/>
      <c r="K14" s="1114">
        <f t="shared" si="0"/>
        <v>5062500</v>
      </c>
      <c r="L14" s="1114" t="s">
        <v>2105</v>
      </c>
      <c r="M14" s="642">
        <v>3500126356256</v>
      </c>
      <c r="N14" s="672"/>
      <c r="O14" s="672"/>
      <c r="P14" s="672"/>
      <c r="Q14" s="672"/>
      <c r="R14" s="672"/>
      <c r="S14" s="672"/>
      <c r="T14" s="672"/>
      <c r="XFC14" s="674">
        <f t="shared" si="1"/>
        <v>0</v>
      </c>
      <c r="XFD14" s="678">
        <f t="shared" si="2"/>
        <v>5062500</v>
      </c>
    </row>
    <row r="15" spans="1:20 16383:16384" s="674" customFormat="1" ht="13.5" thickBot="1" x14ac:dyDescent="0.25">
      <c r="A15" s="291"/>
      <c r="B15" s="291"/>
      <c r="C15" s="637">
        <v>0</v>
      </c>
      <c r="D15" s="638">
        <v>891100252</v>
      </c>
      <c r="E15" s="644">
        <v>0</v>
      </c>
      <c r="F15" s="640" t="s">
        <v>2102</v>
      </c>
      <c r="G15" s="640" t="s">
        <v>2103</v>
      </c>
      <c r="H15" s="640" t="s">
        <v>2104</v>
      </c>
      <c r="I15" s="1623">
        <v>1125000000</v>
      </c>
      <c r="J15" s="1624"/>
      <c r="K15" s="1114">
        <f t="shared" si="0"/>
        <v>5062500</v>
      </c>
      <c r="L15" s="1114" t="s">
        <v>2105</v>
      </c>
      <c r="M15" s="642">
        <v>3500126356257</v>
      </c>
      <c r="N15" s="672"/>
      <c r="O15" s="672"/>
      <c r="P15" s="672"/>
      <c r="Q15" s="672"/>
      <c r="R15" s="672"/>
      <c r="S15" s="672"/>
      <c r="T15" s="672"/>
      <c r="XFC15" s="674">
        <f t="shared" si="1"/>
        <v>0</v>
      </c>
      <c r="XFD15" s="678">
        <f t="shared" si="2"/>
        <v>5062500</v>
      </c>
    </row>
    <row r="16" spans="1:20 16383:16384" s="674" customFormat="1" ht="13.5" thickBot="1" x14ac:dyDescent="0.25">
      <c r="A16" s="291"/>
      <c r="B16" s="291"/>
      <c r="C16" s="637">
        <v>0</v>
      </c>
      <c r="D16" s="638">
        <v>891100252</v>
      </c>
      <c r="E16" s="644">
        <v>0</v>
      </c>
      <c r="F16" s="640" t="s">
        <v>2102</v>
      </c>
      <c r="G16" s="640" t="s">
        <v>2103</v>
      </c>
      <c r="H16" s="640" t="s">
        <v>2104</v>
      </c>
      <c r="I16" s="1623">
        <v>1125000000</v>
      </c>
      <c r="J16" s="1624"/>
      <c r="K16" s="1114">
        <f t="shared" si="0"/>
        <v>5062500</v>
      </c>
      <c r="L16" s="1114" t="s">
        <v>2105</v>
      </c>
      <c r="M16" s="642">
        <v>3500126356258</v>
      </c>
      <c r="N16" s="672"/>
      <c r="O16" s="672"/>
      <c r="P16" s="672"/>
      <c r="Q16" s="672"/>
      <c r="R16" s="672"/>
      <c r="S16" s="672"/>
      <c r="T16" s="672"/>
      <c r="XFC16" s="674">
        <f t="shared" si="1"/>
        <v>0</v>
      </c>
      <c r="XFD16" s="678">
        <f t="shared" si="2"/>
        <v>5062500</v>
      </c>
    </row>
    <row r="17" spans="1:20 16383:16384" s="674" customFormat="1" ht="13.5" thickBot="1" x14ac:dyDescent="0.25">
      <c r="A17" s="291"/>
      <c r="B17" s="291"/>
      <c r="C17" s="637">
        <v>0</v>
      </c>
      <c r="D17" s="638">
        <v>891100252</v>
      </c>
      <c r="E17" s="644">
        <v>0</v>
      </c>
      <c r="F17" s="640" t="s">
        <v>2102</v>
      </c>
      <c r="G17" s="640" t="s">
        <v>2103</v>
      </c>
      <c r="H17" s="640" t="s">
        <v>2104</v>
      </c>
      <c r="I17" s="1623">
        <v>1125000000</v>
      </c>
      <c r="J17" s="1624"/>
      <c r="K17" s="1114">
        <f t="shared" si="0"/>
        <v>5062500</v>
      </c>
      <c r="L17" s="1114" t="s">
        <v>2105</v>
      </c>
      <c r="M17" s="642">
        <v>3500126356259</v>
      </c>
      <c r="N17" s="672"/>
      <c r="O17" s="672"/>
      <c r="P17" s="672"/>
      <c r="Q17" s="672"/>
      <c r="R17" s="672"/>
      <c r="S17" s="672"/>
      <c r="T17" s="672"/>
      <c r="XFC17" s="674">
        <f t="shared" si="1"/>
        <v>0</v>
      </c>
      <c r="XFD17" s="678">
        <f t="shared" si="2"/>
        <v>5062500</v>
      </c>
    </row>
    <row r="18" spans="1:20 16383:16384" s="674" customFormat="1" ht="13.5" thickBot="1" x14ac:dyDescent="0.25">
      <c r="A18" s="291"/>
      <c r="B18" s="291"/>
      <c r="C18" s="637">
        <v>0</v>
      </c>
      <c r="D18" s="638">
        <v>891100252</v>
      </c>
      <c r="E18" s="644">
        <v>0</v>
      </c>
      <c r="F18" s="640" t="s">
        <v>2102</v>
      </c>
      <c r="G18" s="640" t="s">
        <v>2103</v>
      </c>
      <c r="H18" s="640" t="s">
        <v>2104</v>
      </c>
      <c r="I18" s="1623">
        <v>1125000000</v>
      </c>
      <c r="J18" s="1624"/>
      <c r="K18" s="1114">
        <f t="shared" si="0"/>
        <v>5062500</v>
      </c>
      <c r="L18" s="1114" t="s">
        <v>2105</v>
      </c>
      <c r="M18" s="642">
        <v>3500126356260</v>
      </c>
      <c r="N18" s="672"/>
      <c r="O18" s="672"/>
      <c r="P18" s="672"/>
      <c r="Q18" s="672"/>
      <c r="R18" s="672"/>
      <c r="S18" s="672"/>
      <c r="T18" s="672"/>
      <c r="XFC18" s="674">
        <f t="shared" si="1"/>
        <v>0</v>
      </c>
      <c r="XFD18" s="678">
        <f t="shared" si="2"/>
        <v>5062500</v>
      </c>
    </row>
    <row r="19" spans="1:20 16383:16384" s="674" customFormat="1" ht="13.5" thickBot="1" x14ac:dyDescent="0.25">
      <c r="A19" s="291"/>
      <c r="B19" s="291"/>
      <c r="C19" s="637">
        <v>0</v>
      </c>
      <c r="D19" s="638">
        <v>891100252</v>
      </c>
      <c r="E19" s="644">
        <v>0</v>
      </c>
      <c r="F19" s="640" t="s">
        <v>2102</v>
      </c>
      <c r="G19" s="640" t="s">
        <v>2103</v>
      </c>
      <c r="H19" s="640" t="s">
        <v>2104</v>
      </c>
      <c r="I19" s="1623">
        <v>1125000000</v>
      </c>
      <c r="J19" s="1624"/>
      <c r="K19" s="1114">
        <f t="shared" si="0"/>
        <v>5062500</v>
      </c>
      <c r="L19" s="1114" t="s">
        <v>2105</v>
      </c>
      <c r="M19" s="642">
        <v>3500126356261</v>
      </c>
      <c r="N19" s="672"/>
      <c r="O19" s="672"/>
      <c r="P19" s="672"/>
      <c r="Q19" s="672"/>
      <c r="R19" s="672"/>
      <c r="S19" s="672"/>
      <c r="T19" s="672"/>
      <c r="XFC19" s="674">
        <f t="shared" si="1"/>
        <v>0</v>
      </c>
      <c r="XFD19" s="678">
        <f t="shared" si="2"/>
        <v>5062500</v>
      </c>
    </row>
    <row r="20" spans="1:20 16383:16384" s="674" customFormat="1" ht="13.5" thickBot="1" x14ac:dyDescent="0.25">
      <c r="A20" s="291"/>
      <c r="B20" s="291"/>
      <c r="C20" s="637">
        <v>0</v>
      </c>
      <c r="D20" s="638">
        <v>891100252</v>
      </c>
      <c r="E20" s="644">
        <v>0</v>
      </c>
      <c r="F20" s="640" t="s">
        <v>2102</v>
      </c>
      <c r="G20" s="640" t="s">
        <v>2103</v>
      </c>
      <c r="H20" s="640" t="s">
        <v>2104</v>
      </c>
      <c r="I20" s="1623">
        <v>1125000000</v>
      </c>
      <c r="J20" s="1624"/>
      <c r="K20" s="1114">
        <f t="shared" si="0"/>
        <v>5062500</v>
      </c>
      <c r="L20" s="1114" t="s">
        <v>2105</v>
      </c>
      <c r="M20" s="642">
        <v>3500126356262</v>
      </c>
      <c r="N20" s="672"/>
      <c r="O20" s="672"/>
      <c r="P20" s="672"/>
      <c r="Q20" s="672"/>
      <c r="R20" s="672"/>
      <c r="S20" s="672"/>
      <c r="T20" s="672"/>
      <c r="XFC20" s="674">
        <f t="shared" si="1"/>
        <v>0</v>
      </c>
      <c r="XFD20" s="678">
        <f t="shared" si="2"/>
        <v>5062500</v>
      </c>
    </row>
    <row r="21" spans="1:20 16383:16384" s="674" customFormat="1" ht="13.5" thickBot="1" x14ac:dyDescent="0.25">
      <c r="A21" s="291"/>
      <c r="B21" s="291"/>
      <c r="C21" s="637">
        <v>0</v>
      </c>
      <c r="D21" s="638">
        <v>891100252</v>
      </c>
      <c r="E21" s="644">
        <v>0</v>
      </c>
      <c r="F21" s="640" t="s">
        <v>2102</v>
      </c>
      <c r="G21" s="640" t="s">
        <v>2103</v>
      </c>
      <c r="H21" s="640" t="s">
        <v>2104</v>
      </c>
      <c r="I21" s="1623">
        <v>1125000000</v>
      </c>
      <c r="J21" s="1624"/>
      <c r="K21" s="1114">
        <f t="shared" si="0"/>
        <v>5062500</v>
      </c>
      <c r="L21" s="1114" t="s">
        <v>2105</v>
      </c>
      <c r="M21" s="642">
        <v>3500126356263</v>
      </c>
      <c r="N21" s="672"/>
      <c r="O21" s="672"/>
      <c r="P21" s="672"/>
      <c r="Q21" s="672"/>
      <c r="R21" s="672"/>
      <c r="S21" s="672"/>
      <c r="T21" s="672"/>
      <c r="XFC21" s="674">
        <f t="shared" si="1"/>
        <v>0</v>
      </c>
      <c r="XFD21" s="678">
        <f t="shared" si="2"/>
        <v>5062500</v>
      </c>
    </row>
    <row r="22" spans="1:20 16383:16384" s="674" customFormat="1" ht="13.5" thickBot="1" x14ac:dyDescent="0.25">
      <c r="A22" s="291"/>
      <c r="B22" s="291"/>
      <c r="C22" s="637">
        <v>0</v>
      </c>
      <c r="D22" s="638">
        <v>891100252</v>
      </c>
      <c r="E22" s="644">
        <v>0</v>
      </c>
      <c r="F22" s="640" t="s">
        <v>2102</v>
      </c>
      <c r="G22" s="640" t="s">
        <v>2103</v>
      </c>
      <c r="H22" s="640" t="s">
        <v>2104</v>
      </c>
      <c r="I22" s="1623">
        <v>1125000000</v>
      </c>
      <c r="J22" s="1624"/>
      <c r="K22" s="1114">
        <f t="shared" si="0"/>
        <v>5062500</v>
      </c>
      <c r="L22" s="1114" t="s">
        <v>2105</v>
      </c>
      <c r="M22" s="642">
        <v>3500126356264</v>
      </c>
      <c r="N22" s="672"/>
      <c r="O22" s="672"/>
      <c r="P22" s="672"/>
      <c r="Q22" s="672"/>
      <c r="R22" s="672"/>
      <c r="S22" s="672"/>
      <c r="T22" s="672"/>
      <c r="XFC22" s="674">
        <f t="shared" si="1"/>
        <v>0</v>
      </c>
      <c r="XFD22" s="678">
        <f t="shared" si="2"/>
        <v>5062500</v>
      </c>
    </row>
    <row r="23" spans="1:20 16383:16384" s="674" customFormat="1" ht="13.5" thickBot="1" x14ac:dyDescent="0.25">
      <c r="A23" s="291"/>
      <c r="B23" s="291"/>
      <c r="C23" s="637">
        <v>0</v>
      </c>
      <c r="D23" s="638">
        <v>891100252</v>
      </c>
      <c r="E23" s="644">
        <v>0</v>
      </c>
      <c r="F23" s="640" t="s">
        <v>2102</v>
      </c>
      <c r="G23" s="640" t="s">
        <v>2103</v>
      </c>
      <c r="H23" s="640" t="s">
        <v>2104</v>
      </c>
      <c r="I23" s="1623">
        <v>1125000000</v>
      </c>
      <c r="J23" s="1624"/>
      <c r="K23" s="1114">
        <f t="shared" ref="K23" si="3">+I23*4.5/1000</f>
        <v>5062500</v>
      </c>
      <c r="L23" s="1114" t="s">
        <v>2105</v>
      </c>
      <c r="M23" s="642">
        <v>3500126356264</v>
      </c>
      <c r="N23" s="672"/>
      <c r="O23" s="672"/>
      <c r="P23" s="672"/>
      <c r="Q23" s="672"/>
      <c r="R23" s="672"/>
      <c r="S23" s="672"/>
      <c r="T23" s="672"/>
      <c r="XFC23" s="674">
        <f t="shared" si="1"/>
        <v>0</v>
      </c>
      <c r="XFD23" s="678">
        <f t="shared" si="2"/>
        <v>5062500</v>
      </c>
    </row>
    <row r="24" spans="1:20 16383:16384" s="674" customFormat="1" x14ac:dyDescent="0.2">
      <c r="A24" s="291"/>
      <c r="B24" s="291"/>
      <c r="C24" s="637">
        <v>0</v>
      </c>
      <c r="D24" s="643"/>
      <c r="E24" s="644">
        <v>0</v>
      </c>
      <c r="F24" s="645"/>
      <c r="G24" s="645"/>
      <c r="H24" s="645"/>
      <c r="I24" s="1625"/>
      <c r="J24" s="1626"/>
      <c r="K24" s="641"/>
      <c r="L24" s="646"/>
      <c r="M24" s="647"/>
      <c r="N24" s="672"/>
      <c r="O24" s="672"/>
      <c r="P24" s="672"/>
      <c r="Q24" s="672"/>
      <c r="R24" s="672"/>
      <c r="S24" s="672"/>
      <c r="T24" s="672"/>
      <c r="XFC24" s="674">
        <f t="shared" si="1"/>
        <v>0</v>
      </c>
      <c r="XFD24" s="678">
        <f t="shared" si="2"/>
        <v>0</v>
      </c>
    </row>
    <row r="25" spans="1:20 16383:16384" s="674" customFormat="1" ht="13.5" thickBot="1" x14ac:dyDescent="0.25">
      <c r="A25" s="291"/>
      <c r="B25" s="291"/>
      <c r="C25" s="637">
        <v>0</v>
      </c>
      <c r="D25" s="643"/>
      <c r="E25" s="644">
        <v>0</v>
      </c>
      <c r="F25" s="645"/>
      <c r="G25" s="645"/>
      <c r="H25" s="645"/>
      <c r="I25" s="1617"/>
      <c r="J25" s="1618"/>
      <c r="K25" s="646"/>
      <c r="L25" s="646"/>
      <c r="M25" s="647"/>
      <c r="N25" s="672"/>
      <c r="O25" s="672"/>
      <c r="P25" s="672"/>
      <c r="Q25" s="672"/>
      <c r="R25" s="672"/>
      <c r="S25" s="672"/>
      <c r="T25" s="672"/>
      <c r="XFC25" s="674">
        <f t="shared" si="1"/>
        <v>0</v>
      </c>
      <c r="XFD25" s="678">
        <f t="shared" si="2"/>
        <v>0</v>
      </c>
    </row>
    <row r="26" spans="1:20 16383:16384" s="674" customFormat="1" ht="13.5" hidden="1" thickBot="1" x14ac:dyDescent="0.25">
      <c r="A26" s="291"/>
      <c r="B26" s="291"/>
      <c r="C26" s="637">
        <v>0</v>
      </c>
      <c r="D26" s="643"/>
      <c r="E26" s="644">
        <v>0</v>
      </c>
      <c r="F26" s="645"/>
      <c r="G26" s="645"/>
      <c r="H26" s="645"/>
      <c r="I26" s="1617"/>
      <c r="J26" s="1618"/>
      <c r="K26" s="646"/>
      <c r="L26" s="646" t="str">
        <f t="shared" ref="L26:L71" si="4">IF(L25="","",L25)</f>
        <v/>
      </c>
      <c r="M26" s="647"/>
      <c r="N26" s="672"/>
      <c r="O26" s="672"/>
      <c r="P26" s="672"/>
      <c r="Q26" s="672"/>
      <c r="R26" s="672"/>
      <c r="S26" s="672"/>
      <c r="T26" s="672"/>
      <c r="XFC26" s="674">
        <f t="shared" si="1"/>
        <v>0</v>
      </c>
      <c r="XFD26" s="678">
        <f t="shared" si="2"/>
        <v>0</v>
      </c>
    </row>
    <row r="27" spans="1:20 16383:16384" s="674" customFormat="1" ht="13.5" hidden="1" thickBot="1" x14ac:dyDescent="0.25">
      <c r="A27" s="291"/>
      <c r="B27" s="291"/>
      <c r="C27" s="637">
        <v>0</v>
      </c>
      <c r="D27" s="643"/>
      <c r="E27" s="644">
        <v>0</v>
      </c>
      <c r="F27" s="645"/>
      <c r="G27" s="645"/>
      <c r="H27" s="645"/>
      <c r="I27" s="1617"/>
      <c r="J27" s="1618"/>
      <c r="K27" s="646"/>
      <c r="L27" s="646" t="str">
        <f t="shared" si="4"/>
        <v/>
      </c>
      <c r="M27" s="647"/>
      <c r="N27" s="672"/>
      <c r="O27" s="672"/>
      <c r="P27" s="672"/>
      <c r="Q27" s="672"/>
      <c r="R27" s="672"/>
      <c r="S27" s="672"/>
      <c r="T27" s="672"/>
      <c r="XFC27" s="674">
        <f t="shared" si="1"/>
        <v>0</v>
      </c>
      <c r="XFD27" s="678">
        <f t="shared" si="2"/>
        <v>0</v>
      </c>
    </row>
    <row r="28" spans="1:20 16383:16384" s="674" customFormat="1" ht="13.5" hidden="1" thickBot="1" x14ac:dyDescent="0.25">
      <c r="A28" s="291"/>
      <c r="B28" s="291"/>
      <c r="C28" s="637">
        <v>0</v>
      </c>
      <c r="D28" s="643"/>
      <c r="E28" s="644">
        <v>0</v>
      </c>
      <c r="F28" s="645"/>
      <c r="G28" s="645"/>
      <c r="H28" s="645"/>
      <c r="I28" s="1617"/>
      <c r="J28" s="1618"/>
      <c r="K28" s="646"/>
      <c r="L28" s="646" t="str">
        <f t="shared" si="4"/>
        <v/>
      </c>
      <c r="M28" s="647"/>
      <c r="N28" s="672"/>
      <c r="O28" s="672"/>
      <c r="P28" s="672"/>
      <c r="Q28" s="672"/>
      <c r="R28" s="672"/>
      <c r="S28" s="672"/>
      <c r="T28" s="672"/>
      <c r="XFC28" s="674">
        <f t="shared" si="1"/>
        <v>0</v>
      </c>
      <c r="XFD28" s="678">
        <f t="shared" si="2"/>
        <v>0</v>
      </c>
    </row>
    <row r="29" spans="1:20 16383:16384" s="674" customFormat="1" ht="13.5" hidden="1" thickBot="1" x14ac:dyDescent="0.25">
      <c r="A29" s="291"/>
      <c r="B29" s="291"/>
      <c r="C29" s="637">
        <v>0</v>
      </c>
      <c r="D29" s="643"/>
      <c r="E29" s="644">
        <v>0</v>
      </c>
      <c r="F29" s="645"/>
      <c r="G29" s="645"/>
      <c r="H29" s="645"/>
      <c r="I29" s="1617"/>
      <c r="J29" s="1618"/>
      <c r="K29" s="646"/>
      <c r="L29" s="646" t="str">
        <f t="shared" si="4"/>
        <v/>
      </c>
      <c r="M29" s="647"/>
      <c r="N29" s="672"/>
      <c r="O29" s="672"/>
      <c r="P29" s="672"/>
      <c r="Q29" s="672"/>
      <c r="R29" s="672"/>
      <c r="S29" s="672"/>
      <c r="T29" s="672"/>
      <c r="XFC29" s="674">
        <f t="shared" si="1"/>
        <v>0</v>
      </c>
      <c r="XFD29" s="678">
        <f t="shared" si="2"/>
        <v>0</v>
      </c>
    </row>
    <row r="30" spans="1:20 16383:16384" s="674" customFormat="1" ht="13.5" hidden="1" thickBot="1" x14ac:dyDescent="0.25">
      <c r="A30" s="291"/>
      <c r="B30" s="291"/>
      <c r="C30" s="637">
        <v>0</v>
      </c>
      <c r="D30" s="643"/>
      <c r="E30" s="644">
        <v>0</v>
      </c>
      <c r="F30" s="645"/>
      <c r="G30" s="645"/>
      <c r="H30" s="645"/>
      <c r="I30" s="1617"/>
      <c r="J30" s="1618"/>
      <c r="K30" s="646"/>
      <c r="L30" s="646" t="str">
        <f t="shared" si="4"/>
        <v/>
      </c>
      <c r="M30" s="647"/>
      <c r="N30" s="672"/>
      <c r="O30" s="672"/>
      <c r="P30" s="672"/>
      <c r="Q30" s="672"/>
      <c r="R30" s="672"/>
      <c r="S30" s="672"/>
      <c r="T30" s="672"/>
      <c r="XFC30" s="674">
        <f t="shared" si="1"/>
        <v>0</v>
      </c>
      <c r="XFD30" s="678">
        <f t="shared" si="2"/>
        <v>0</v>
      </c>
    </row>
    <row r="31" spans="1:20 16383:16384" s="674" customFormat="1" ht="13.5" hidden="1" thickBot="1" x14ac:dyDescent="0.25">
      <c r="A31" s="291"/>
      <c r="B31" s="291"/>
      <c r="C31" s="637">
        <v>0</v>
      </c>
      <c r="D31" s="643"/>
      <c r="E31" s="644">
        <v>0</v>
      </c>
      <c r="F31" s="645"/>
      <c r="G31" s="645"/>
      <c r="H31" s="645"/>
      <c r="I31" s="1617"/>
      <c r="J31" s="1618"/>
      <c r="K31" s="646"/>
      <c r="L31" s="646" t="str">
        <f t="shared" si="4"/>
        <v/>
      </c>
      <c r="M31" s="647"/>
      <c r="N31" s="672"/>
      <c r="O31" s="672"/>
      <c r="P31" s="672"/>
      <c r="Q31" s="672"/>
      <c r="R31" s="672"/>
      <c r="S31" s="672"/>
      <c r="T31" s="672"/>
      <c r="XFC31" s="674">
        <f t="shared" si="1"/>
        <v>0</v>
      </c>
      <c r="XFD31" s="678">
        <f t="shared" si="2"/>
        <v>0</v>
      </c>
    </row>
    <row r="32" spans="1:20 16383:16384" s="674" customFormat="1" ht="13.5" hidden="1" thickBot="1" x14ac:dyDescent="0.25">
      <c r="A32" s="291"/>
      <c r="B32" s="291"/>
      <c r="C32" s="637">
        <v>0</v>
      </c>
      <c r="D32" s="643"/>
      <c r="E32" s="644">
        <v>0</v>
      </c>
      <c r="F32" s="645"/>
      <c r="G32" s="645"/>
      <c r="H32" s="645"/>
      <c r="I32" s="1617"/>
      <c r="J32" s="1618"/>
      <c r="K32" s="646"/>
      <c r="L32" s="646" t="str">
        <f t="shared" si="4"/>
        <v/>
      </c>
      <c r="M32" s="647"/>
      <c r="N32" s="672"/>
      <c r="O32" s="672"/>
      <c r="P32" s="672"/>
      <c r="Q32" s="672"/>
      <c r="R32" s="672"/>
      <c r="S32" s="672"/>
      <c r="T32" s="672"/>
      <c r="XFC32" s="674">
        <f t="shared" si="1"/>
        <v>0</v>
      </c>
      <c r="XFD32" s="678">
        <f t="shared" si="2"/>
        <v>0</v>
      </c>
    </row>
    <row r="33" spans="1:20 16383:16384" s="674" customFormat="1" ht="13.5" hidden="1" thickBot="1" x14ac:dyDescent="0.25">
      <c r="A33" s="291"/>
      <c r="B33" s="291"/>
      <c r="C33" s="637">
        <v>0</v>
      </c>
      <c r="D33" s="643"/>
      <c r="E33" s="644">
        <v>0</v>
      </c>
      <c r="F33" s="645"/>
      <c r="G33" s="645"/>
      <c r="H33" s="645"/>
      <c r="I33" s="1617"/>
      <c r="J33" s="1618"/>
      <c r="K33" s="646"/>
      <c r="L33" s="646" t="str">
        <f t="shared" si="4"/>
        <v/>
      </c>
      <c r="M33" s="647"/>
      <c r="N33" s="672"/>
      <c r="O33" s="672"/>
      <c r="P33" s="672"/>
      <c r="Q33" s="672"/>
      <c r="R33" s="672"/>
      <c r="S33" s="672"/>
      <c r="T33" s="672"/>
      <c r="XFC33" s="674">
        <f t="shared" si="1"/>
        <v>0</v>
      </c>
      <c r="XFD33" s="678">
        <f t="shared" si="2"/>
        <v>0</v>
      </c>
    </row>
    <row r="34" spans="1:20 16383:16384" s="674" customFormat="1" ht="13.5" hidden="1" thickBot="1" x14ac:dyDescent="0.25">
      <c r="A34" s="291"/>
      <c r="B34" s="291"/>
      <c r="C34" s="637">
        <v>0</v>
      </c>
      <c r="D34" s="643"/>
      <c r="E34" s="644">
        <v>0</v>
      </c>
      <c r="F34" s="645"/>
      <c r="G34" s="645"/>
      <c r="H34" s="645"/>
      <c r="I34" s="1617"/>
      <c r="J34" s="1618"/>
      <c r="K34" s="646"/>
      <c r="L34" s="646" t="str">
        <f t="shared" si="4"/>
        <v/>
      </c>
      <c r="M34" s="647"/>
      <c r="N34" s="672"/>
      <c r="O34" s="672"/>
      <c r="P34" s="672"/>
      <c r="Q34" s="672"/>
      <c r="R34" s="672"/>
      <c r="S34" s="672"/>
      <c r="T34" s="672"/>
      <c r="XFC34" s="674">
        <f t="shared" si="1"/>
        <v>0</v>
      </c>
      <c r="XFD34" s="678">
        <f t="shared" si="2"/>
        <v>0</v>
      </c>
    </row>
    <row r="35" spans="1:20 16383:16384" s="674" customFormat="1" ht="13.5" hidden="1" thickBot="1" x14ac:dyDescent="0.25">
      <c r="A35" s="291"/>
      <c r="B35" s="291"/>
      <c r="C35" s="637">
        <v>0</v>
      </c>
      <c r="D35" s="643"/>
      <c r="E35" s="644">
        <v>0</v>
      </c>
      <c r="F35" s="645"/>
      <c r="G35" s="645"/>
      <c r="H35" s="645"/>
      <c r="I35" s="1617"/>
      <c r="J35" s="1618"/>
      <c r="K35" s="646"/>
      <c r="L35" s="646" t="str">
        <f t="shared" si="4"/>
        <v/>
      </c>
      <c r="M35" s="647"/>
      <c r="N35" s="672"/>
      <c r="O35" s="672"/>
      <c r="P35" s="672"/>
      <c r="Q35" s="672"/>
      <c r="R35" s="672"/>
      <c r="S35" s="672"/>
      <c r="T35" s="672"/>
      <c r="XFC35" s="674">
        <f t="shared" si="1"/>
        <v>0</v>
      </c>
      <c r="XFD35" s="678">
        <f t="shared" si="2"/>
        <v>0</v>
      </c>
    </row>
    <row r="36" spans="1:20 16383:16384" s="674" customFormat="1" ht="13.5" hidden="1" thickBot="1" x14ac:dyDescent="0.25">
      <c r="A36" s="291"/>
      <c r="B36" s="291"/>
      <c r="C36" s="637">
        <v>0</v>
      </c>
      <c r="D36" s="643"/>
      <c r="E36" s="644">
        <v>0</v>
      </c>
      <c r="F36" s="645"/>
      <c r="G36" s="645"/>
      <c r="H36" s="645"/>
      <c r="I36" s="1617"/>
      <c r="J36" s="1618"/>
      <c r="K36" s="646"/>
      <c r="L36" s="646" t="str">
        <f t="shared" si="4"/>
        <v/>
      </c>
      <c r="M36" s="647"/>
      <c r="N36" s="672"/>
      <c r="O36" s="672"/>
      <c r="P36" s="672"/>
      <c r="Q36" s="672"/>
      <c r="R36" s="672"/>
      <c r="S36" s="672"/>
      <c r="T36" s="672"/>
      <c r="XFC36" s="674">
        <f t="shared" si="1"/>
        <v>0</v>
      </c>
      <c r="XFD36" s="678">
        <f t="shared" si="2"/>
        <v>0</v>
      </c>
    </row>
    <row r="37" spans="1:20 16383:16384" s="674" customFormat="1" ht="13.5" hidden="1" thickBot="1" x14ac:dyDescent="0.25">
      <c r="A37" s="291"/>
      <c r="B37" s="291"/>
      <c r="C37" s="637">
        <v>0</v>
      </c>
      <c r="D37" s="643"/>
      <c r="E37" s="644">
        <v>0</v>
      </c>
      <c r="F37" s="645"/>
      <c r="G37" s="645"/>
      <c r="H37" s="645"/>
      <c r="I37" s="1617"/>
      <c r="J37" s="1618"/>
      <c r="K37" s="646"/>
      <c r="L37" s="646" t="str">
        <f t="shared" si="4"/>
        <v/>
      </c>
      <c r="M37" s="647"/>
      <c r="N37" s="672"/>
      <c r="O37" s="672"/>
      <c r="P37" s="672"/>
      <c r="Q37" s="672"/>
      <c r="R37" s="672"/>
      <c r="S37" s="672"/>
      <c r="T37" s="672"/>
      <c r="XFC37" s="674">
        <f t="shared" si="1"/>
        <v>0</v>
      </c>
      <c r="XFD37" s="678">
        <f t="shared" si="2"/>
        <v>0</v>
      </c>
    </row>
    <row r="38" spans="1:20 16383:16384" s="674" customFormat="1" ht="13.5" hidden="1" thickBot="1" x14ac:dyDescent="0.25">
      <c r="A38" s="291"/>
      <c r="B38" s="291"/>
      <c r="C38" s="637">
        <v>0</v>
      </c>
      <c r="D38" s="643"/>
      <c r="E38" s="644">
        <v>0</v>
      </c>
      <c r="F38" s="645"/>
      <c r="G38" s="645"/>
      <c r="H38" s="645"/>
      <c r="I38" s="1617"/>
      <c r="J38" s="1618"/>
      <c r="K38" s="646"/>
      <c r="L38" s="646" t="str">
        <f t="shared" si="4"/>
        <v/>
      </c>
      <c r="M38" s="647"/>
      <c r="N38" s="672"/>
      <c r="O38" s="672"/>
      <c r="P38" s="672"/>
      <c r="Q38" s="672"/>
      <c r="R38" s="672"/>
      <c r="S38" s="672"/>
      <c r="T38" s="672"/>
      <c r="XFC38" s="674">
        <f t="shared" si="1"/>
        <v>0</v>
      </c>
      <c r="XFD38" s="678">
        <f t="shared" si="2"/>
        <v>0</v>
      </c>
    </row>
    <row r="39" spans="1:20 16383:16384" s="674" customFormat="1" ht="13.5" hidden="1" thickBot="1" x14ac:dyDescent="0.25">
      <c r="A39" s="291"/>
      <c r="B39" s="291"/>
      <c r="C39" s="637">
        <v>0</v>
      </c>
      <c r="D39" s="643"/>
      <c r="E39" s="644">
        <v>0</v>
      </c>
      <c r="F39" s="645"/>
      <c r="G39" s="645"/>
      <c r="H39" s="645"/>
      <c r="I39" s="1617"/>
      <c r="J39" s="1618"/>
      <c r="K39" s="646"/>
      <c r="L39" s="646" t="str">
        <f t="shared" si="4"/>
        <v/>
      </c>
      <c r="M39" s="647"/>
      <c r="N39" s="672"/>
      <c r="O39" s="672"/>
      <c r="P39" s="672"/>
      <c r="Q39" s="672"/>
      <c r="R39" s="672"/>
      <c r="S39" s="672"/>
      <c r="T39" s="672"/>
      <c r="XFC39" s="674">
        <f t="shared" si="1"/>
        <v>0</v>
      </c>
      <c r="XFD39" s="678">
        <f t="shared" si="2"/>
        <v>0</v>
      </c>
    </row>
    <row r="40" spans="1:20 16383:16384" s="674" customFormat="1" ht="13.5" hidden="1" thickBot="1" x14ac:dyDescent="0.25">
      <c r="A40" s="291"/>
      <c r="B40" s="291"/>
      <c r="C40" s="637">
        <v>0</v>
      </c>
      <c r="D40" s="643"/>
      <c r="E40" s="644">
        <v>0</v>
      </c>
      <c r="F40" s="645"/>
      <c r="G40" s="645"/>
      <c r="H40" s="645"/>
      <c r="I40" s="1617"/>
      <c r="J40" s="1618"/>
      <c r="K40" s="646"/>
      <c r="L40" s="646" t="str">
        <f t="shared" si="4"/>
        <v/>
      </c>
      <c r="M40" s="647"/>
      <c r="N40" s="672"/>
      <c r="O40" s="672"/>
      <c r="P40" s="672"/>
      <c r="Q40" s="672"/>
      <c r="R40" s="672"/>
      <c r="S40" s="672"/>
      <c r="T40" s="672"/>
      <c r="XFC40" s="674">
        <f t="shared" si="1"/>
        <v>0</v>
      </c>
      <c r="XFD40" s="678">
        <f t="shared" si="2"/>
        <v>0</v>
      </c>
    </row>
    <row r="41" spans="1:20 16383:16384" s="674" customFormat="1" ht="13.5" hidden="1" thickBot="1" x14ac:dyDescent="0.25">
      <c r="A41" s="291"/>
      <c r="B41" s="291"/>
      <c r="C41" s="637">
        <v>0</v>
      </c>
      <c r="D41" s="643"/>
      <c r="E41" s="644">
        <v>0</v>
      </c>
      <c r="F41" s="645"/>
      <c r="G41" s="645"/>
      <c r="H41" s="645"/>
      <c r="I41" s="1617"/>
      <c r="J41" s="1618"/>
      <c r="K41" s="646"/>
      <c r="L41" s="646" t="str">
        <f t="shared" si="4"/>
        <v/>
      </c>
      <c r="M41" s="647"/>
      <c r="N41" s="672"/>
      <c r="O41" s="672"/>
      <c r="P41" s="672"/>
      <c r="Q41" s="672"/>
      <c r="R41" s="672"/>
      <c r="S41" s="672"/>
      <c r="T41" s="672"/>
      <c r="XFC41" s="674">
        <f t="shared" si="1"/>
        <v>0</v>
      </c>
      <c r="XFD41" s="678">
        <f t="shared" si="2"/>
        <v>0</v>
      </c>
    </row>
    <row r="42" spans="1:20 16383:16384" s="674" customFormat="1" ht="13.5" hidden="1" thickBot="1" x14ac:dyDescent="0.25">
      <c r="A42" s="291"/>
      <c r="B42" s="291"/>
      <c r="C42" s="637">
        <v>0</v>
      </c>
      <c r="D42" s="643"/>
      <c r="E42" s="644">
        <v>0</v>
      </c>
      <c r="F42" s="645"/>
      <c r="G42" s="645"/>
      <c r="H42" s="645"/>
      <c r="I42" s="1617"/>
      <c r="J42" s="1618"/>
      <c r="K42" s="646"/>
      <c r="L42" s="646" t="str">
        <f t="shared" si="4"/>
        <v/>
      </c>
      <c r="M42" s="647"/>
      <c r="N42" s="672"/>
      <c r="O42" s="672"/>
      <c r="P42" s="672"/>
      <c r="Q42" s="672"/>
      <c r="R42" s="672"/>
      <c r="S42" s="672"/>
      <c r="T42" s="672"/>
      <c r="XFC42" s="674">
        <f t="shared" si="1"/>
        <v>0</v>
      </c>
      <c r="XFD42" s="678">
        <f t="shared" si="2"/>
        <v>0</v>
      </c>
    </row>
    <row r="43" spans="1:20 16383:16384" s="674" customFormat="1" ht="13.5" hidden="1" thickBot="1" x14ac:dyDescent="0.25">
      <c r="A43" s="291"/>
      <c r="B43" s="291"/>
      <c r="C43" s="637">
        <v>0</v>
      </c>
      <c r="D43" s="643"/>
      <c r="E43" s="644">
        <v>0</v>
      </c>
      <c r="F43" s="645"/>
      <c r="G43" s="645"/>
      <c r="H43" s="645"/>
      <c r="I43" s="1617"/>
      <c r="J43" s="1618"/>
      <c r="K43" s="646"/>
      <c r="L43" s="646" t="str">
        <f t="shared" si="4"/>
        <v/>
      </c>
      <c r="M43" s="647"/>
      <c r="N43" s="672"/>
      <c r="O43" s="672"/>
      <c r="P43" s="672"/>
      <c r="Q43" s="672"/>
      <c r="R43" s="672"/>
      <c r="S43" s="672"/>
      <c r="T43" s="672"/>
      <c r="XFC43" s="674">
        <f t="shared" si="1"/>
        <v>0</v>
      </c>
      <c r="XFD43" s="678">
        <f t="shared" si="2"/>
        <v>0</v>
      </c>
    </row>
    <row r="44" spans="1:20 16383:16384" s="674" customFormat="1" ht="13.5" hidden="1" thickBot="1" x14ac:dyDescent="0.25">
      <c r="A44" s="291"/>
      <c r="B44" s="291"/>
      <c r="C44" s="637">
        <v>0</v>
      </c>
      <c r="D44" s="643"/>
      <c r="E44" s="644">
        <v>0</v>
      </c>
      <c r="F44" s="645"/>
      <c r="G44" s="645"/>
      <c r="H44" s="645"/>
      <c r="I44" s="1617"/>
      <c r="J44" s="1618"/>
      <c r="K44" s="646"/>
      <c r="L44" s="646" t="str">
        <f t="shared" si="4"/>
        <v/>
      </c>
      <c r="M44" s="647"/>
      <c r="N44" s="672"/>
      <c r="O44" s="672"/>
      <c r="P44" s="672"/>
      <c r="Q44" s="672"/>
      <c r="R44" s="672"/>
      <c r="S44" s="672"/>
      <c r="T44" s="672"/>
      <c r="XFC44" s="674">
        <f t="shared" si="1"/>
        <v>0</v>
      </c>
      <c r="XFD44" s="678">
        <f t="shared" si="2"/>
        <v>0</v>
      </c>
    </row>
    <row r="45" spans="1:20 16383:16384" s="674" customFormat="1" ht="13.5" hidden="1" thickBot="1" x14ac:dyDescent="0.25">
      <c r="A45" s="291"/>
      <c r="B45" s="291"/>
      <c r="C45" s="637">
        <v>0</v>
      </c>
      <c r="D45" s="643"/>
      <c r="E45" s="644">
        <v>0</v>
      </c>
      <c r="F45" s="645"/>
      <c r="G45" s="645"/>
      <c r="H45" s="645"/>
      <c r="I45" s="1617"/>
      <c r="J45" s="1618"/>
      <c r="K45" s="646"/>
      <c r="L45" s="646" t="str">
        <f t="shared" si="4"/>
        <v/>
      </c>
      <c r="M45" s="647"/>
      <c r="N45" s="672"/>
      <c r="O45" s="672"/>
      <c r="P45" s="672"/>
      <c r="Q45" s="672"/>
      <c r="R45" s="672"/>
      <c r="S45" s="672"/>
      <c r="T45" s="672"/>
      <c r="XFC45" s="674">
        <f t="shared" si="1"/>
        <v>0</v>
      </c>
      <c r="XFD45" s="678">
        <f t="shared" si="2"/>
        <v>0</v>
      </c>
    </row>
    <row r="46" spans="1:20 16383:16384" s="674" customFormat="1" ht="13.5" hidden="1" thickBot="1" x14ac:dyDescent="0.25">
      <c r="A46" s="291"/>
      <c r="B46" s="291"/>
      <c r="C46" s="637">
        <v>0</v>
      </c>
      <c r="D46" s="643"/>
      <c r="E46" s="644">
        <v>0</v>
      </c>
      <c r="F46" s="645"/>
      <c r="G46" s="645"/>
      <c r="H46" s="645"/>
      <c r="I46" s="1617"/>
      <c r="J46" s="1618"/>
      <c r="K46" s="646"/>
      <c r="L46" s="646" t="str">
        <f t="shared" si="4"/>
        <v/>
      </c>
      <c r="M46" s="647"/>
      <c r="N46" s="672"/>
      <c r="O46" s="672"/>
      <c r="P46" s="672"/>
      <c r="Q46" s="672"/>
      <c r="R46" s="672"/>
      <c r="S46" s="672"/>
      <c r="T46" s="672"/>
      <c r="XFC46" s="674">
        <f t="shared" si="1"/>
        <v>0</v>
      </c>
      <c r="XFD46" s="678">
        <f t="shared" si="2"/>
        <v>0</v>
      </c>
    </row>
    <row r="47" spans="1:20 16383:16384" s="674" customFormat="1" ht="13.5" hidden="1" thickBot="1" x14ac:dyDescent="0.25">
      <c r="A47" s="291"/>
      <c r="B47" s="291"/>
      <c r="C47" s="637">
        <v>0</v>
      </c>
      <c r="D47" s="643"/>
      <c r="E47" s="644">
        <v>0</v>
      </c>
      <c r="F47" s="645"/>
      <c r="G47" s="645"/>
      <c r="H47" s="645"/>
      <c r="I47" s="1617"/>
      <c r="J47" s="1618"/>
      <c r="K47" s="646"/>
      <c r="L47" s="646" t="str">
        <f t="shared" si="4"/>
        <v/>
      </c>
      <c r="M47" s="647"/>
      <c r="N47" s="672"/>
      <c r="O47" s="672"/>
      <c r="P47" s="672"/>
      <c r="Q47" s="672"/>
      <c r="R47" s="672"/>
      <c r="S47" s="672"/>
      <c r="T47" s="672"/>
      <c r="XFC47" s="674">
        <f t="shared" si="1"/>
        <v>0</v>
      </c>
      <c r="XFD47" s="678">
        <f t="shared" si="2"/>
        <v>0</v>
      </c>
    </row>
    <row r="48" spans="1:20 16383:16384" s="674" customFormat="1" ht="13.5" hidden="1" thickBot="1" x14ac:dyDescent="0.25">
      <c r="A48" s="291"/>
      <c r="B48" s="291"/>
      <c r="C48" s="637">
        <v>0</v>
      </c>
      <c r="D48" s="643"/>
      <c r="E48" s="644">
        <v>0</v>
      </c>
      <c r="F48" s="645"/>
      <c r="G48" s="645"/>
      <c r="H48" s="645"/>
      <c r="I48" s="1617"/>
      <c r="J48" s="1618"/>
      <c r="K48" s="646"/>
      <c r="L48" s="646" t="str">
        <f t="shared" si="4"/>
        <v/>
      </c>
      <c r="M48" s="647"/>
      <c r="N48" s="672"/>
      <c r="O48" s="672"/>
      <c r="P48" s="672"/>
      <c r="Q48" s="672"/>
      <c r="R48" s="672"/>
      <c r="S48" s="672"/>
      <c r="T48" s="672"/>
      <c r="XFC48" s="674">
        <f t="shared" si="1"/>
        <v>0</v>
      </c>
      <c r="XFD48" s="678">
        <f t="shared" si="2"/>
        <v>0</v>
      </c>
    </row>
    <row r="49" spans="1:20 16383:16384" s="674" customFormat="1" ht="13.5" hidden="1" thickBot="1" x14ac:dyDescent="0.25">
      <c r="A49" s="291"/>
      <c r="B49" s="291"/>
      <c r="C49" s="637">
        <v>0</v>
      </c>
      <c r="D49" s="643"/>
      <c r="E49" s="644">
        <v>0</v>
      </c>
      <c r="F49" s="645"/>
      <c r="G49" s="645"/>
      <c r="H49" s="645"/>
      <c r="I49" s="1617"/>
      <c r="J49" s="1618"/>
      <c r="K49" s="646"/>
      <c r="L49" s="646" t="str">
        <f t="shared" si="4"/>
        <v/>
      </c>
      <c r="M49" s="647"/>
      <c r="N49" s="672"/>
      <c r="O49" s="672"/>
      <c r="P49" s="672"/>
      <c r="Q49" s="672"/>
      <c r="R49" s="672"/>
      <c r="S49" s="672"/>
      <c r="T49" s="672"/>
      <c r="XFC49" s="674">
        <f t="shared" si="1"/>
        <v>0</v>
      </c>
      <c r="XFD49" s="678">
        <f t="shared" si="2"/>
        <v>0</v>
      </c>
    </row>
    <row r="50" spans="1:20 16383:16384" s="674" customFormat="1" ht="13.5" hidden="1" thickBot="1" x14ac:dyDescent="0.25">
      <c r="A50" s="291"/>
      <c r="B50" s="291"/>
      <c r="C50" s="637">
        <v>0</v>
      </c>
      <c r="D50" s="643"/>
      <c r="E50" s="644">
        <v>0</v>
      </c>
      <c r="F50" s="645"/>
      <c r="G50" s="645"/>
      <c r="H50" s="645"/>
      <c r="I50" s="1617"/>
      <c r="J50" s="1618"/>
      <c r="K50" s="646"/>
      <c r="L50" s="646" t="str">
        <f t="shared" si="4"/>
        <v/>
      </c>
      <c r="M50" s="647"/>
      <c r="N50" s="672"/>
      <c r="O50" s="672"/>
      <c r="P50" s="672"/>
      <c r="Q50" s="672"/>
      <c r="R50" s="672"/>
      <c r="S50" s="672"/>
      <c r="T50" s="672"/>
      <c r="XFC50" s="674">
        <f t="shared" si="1"/>
        <v>0</v>
      </c>
      <c r="XFD50" s="678">
        <f t="shared" si="2"/>
        <v>0</v>
      </c>
    </row>
    <row r="51" spans="1:20 16383:16384" s="674" customFormat="1" ht="13.5" hidden="1" thickBot="1" x14ac:dyDescent="0.25">
      <c r="A51" s="291"/>
      <c r="B51" s="291"/>
      <c r="C51" s="637">
        <v>0</v>
      </c>
      <c r="D51" s="643"/>
      <c r="E51" s="644">
        <v>0</v>
      </c>
      <c r="F51" s="645"/>
      <c r="G51" s="645"/>
      <c r="H51" s="645"/>
      <c r="I51" s="1617"/>
      <c r="J51" s="1618"/>
      <c r="K51" s="646"/>
      <c r="L51" s="646" t="str">
        <f t="shared" si="4"/>
        <v/>
      </c>
      <c r="M51" s="647"/>
      <c r="N51" s="672"/>
      <c r="O51" s="672"/>
      <c r="P51" s="672"/>
      <c r="Q51" s="672"/>
      <c r="R51" s="672"/>
      <c r="S51" s="672"/>
      <c r="T51" s="672"/>
      <c r="XFC51" s="674">
        <f t="shared" si="1"/>
        <v>0</v>
      </c>
      <c r="XFD51" s="678">
        <f t="shared" si="2"/>
        <v>0</v>
      </c>
    </row>
    <row r="52" spans="1:20 16383:16384" s="674" customFormat="1" ht="13.5" hidden="1" thickBot="1" x14ac:dyDescent="0.25">
      <c r="A52" s="291"/>
      <c r="B52" s="291"/>
      <c r="C52" s="637">
        <v>0</v>
      </c>
      <c r="D52" s="643"/>
      <c r="E52" s="644">
        <v>0</v>
      </c>
      <c r="F52" s="645"/>
      <c r="G52" s="645"/>
      <c r="H52" s="645"/>
      <c r="I52" s="1617"/>
      <c r="J52" s="1618"/>
      <c r="K52" s="646"/>
      <c r="L52" s="646" t="str">
        <f t="shared" si="4"/>
        <v/>
      </c>
      <c r="M52" s="647"/>
      <c r="N52" s="672"/>
      <c r="O52" s="672"/>
      <c r="P52" s="672"/>
      <c r="Q52" s="672"/>
      <c r="R52" s="672"/>
      <c r="S52" s="672"/>
      <c r="T52" s="672"/>
      <c r="XFC52" s="674">
        <f t="shared" si="1"/>
        <v>0</v>
      </c>
      <c r="XFD52" s="678">
        <f t="shared" si="2"/>
        <v>0</v>
      </c>
    </row>
    <row r="53" spans="1:20 16383:16384" s="674" customFormat="1" ht="13.5" hidden="1" thickBot="1" x14ac:dyDescent="0.25">
      <c r="A53" s="291"/>
      <c r="B53" s="291"/>
      <c r="C53" s="637">
        <v>0</v>
      </c>
      <c r="D53" s="643"/>
      <c r="E53" s="644">
        <v>0</v>
      </c>
      <c r="F53" s="645"/>
      <c r="G53" s="645"/>
      <c r="H53" s="645"/>
      <c r="I53" s="1617"/>
      <c r="J53" s="1618"/>
      <c r="K53" s="646"/>
      <c r="L53" s="646" t="str">
        <f t="shared" si="4"/>
        <v/>
      </c>
      <c r="M53" s="647"/>
      <c r="N53" s="672"/>
      <c r="O53" s="672"/>
      <c r="P53" s="672"/>
      <c r="Q53" s="672"/>
      <c r="R53" s="672"/>
      <c r="S53" s="672"/>
      <c r="T53" s="672"/>
      <c r="XFC53" s="674">
        <f t="shared" si="1"/>
        <v>0</v>
      </c>
      <c r="XFD53" s="678">
        <f t="shared" si="2"/>
        <v>0</v>
      </c>
    </row>
    <row r="54" spans="1:20 16383:16384" s="674" customFormat="1" ht="13.5" hidden="1" thickBot="1" x14ac:dyDescent="0.25">
      <c r="A54" s="291"/>
      <c r="B54" s="291"/>
      <c r="C54" s="637">
        <v>0</v>
      </c>
      <c r="D54" s="643"/>
      <c r="E54" s="644">
        <v>0</v>
      </c>
      <c r="F54" s="645"/>
      <c r="G54" s="645"/>
      <c r="H54" s="645"/>
      <c r="I54" s="1617"/>
      <c r="J54" s="1618"/>
      <c r="K54" s="646"/>
      <c r="L54" s="646" t="str">
        <f t="shared" si="4"/>
        <v/>
      </c>
      <c r="M54" s="647"/>
      <c r="N54" s="672"/>
      <c r="O54" s="672"/>
      <c r="P54" s="672"/>
      <c r="Q54" s="672"/>
      <c r="R54" s="672"/>
      <c r="S54" s="672"/>
      <c r="T54" s="672"/>
      <c r="XFC54" s="674">
        <f t="shared" si="1"/>
        <v>0</v>
      </c>
      <c r="XFD54" s="678">
        <f t="shared" si="2"/>
        <v>0</v>
      </c>
    </row>
    <row r="55" spans="1:20 16383:16384" s="674" customFormat="1" ht="13.5" hidden="1" thickBot="1" x14ac:dyDescent="0.25">
      <c r="A55" s="291"/>
      <c r="B55" s="291"/>
      <c r="C55" s="637">
        <v>0</v>
      </c>
      <c r="D55" s="643"/>
      <c r="E55" s="644">
        <v>0</v>
      </c>
      <c r="F55" s="645"/>
      <c r="G55" s="645"/>
      <c r="H55" s="645"/>
      <c r="I55" s="1617"/>
      <c r="J55" s="1618"/>
      <c r="K55" s="646"/>
      <c r="L55" s="646" t="str">
        <f t="shared" si="4"/>
        <v/>
      </c>
      <c r="M55" s="647"/>
      <c r="N55" s="672"/>
      <c r="O55" s="672"/>
      <c r="P55" s="672"/>
      <c r="Q55" s="672"/>
      <c r="R55" s="672"/>
      <c r="S55" s="672"/>
      <c r="T55" s="672"/>
      <c r="XFC55" s="674">
        <f t="shared" si="1"/>
        <v>0</v>
      </c>
      <c r="XFD55" s="678">
        <f t="shared" si="2"/>
        <v>0</v>
      </c>
    </row>
    <row r="56" spans="1:20 16383:16384" s="674" customFormat="1" ht="13.5" hidden="1" thickBot="1" x14ac:dyDescent="0.25">
      <c r="A56" s="291"/>
      <c r="B56" s="291"/>
      <c r="C56" s="637">
        <v>0</v>
      </c>
      <c r="D56" s="643"/>
      <c r="E56" s="644">
        <v>0</v>
      </c>
      <c r="F56" s="645"/>
      <c r="G56" s="645"/>
      <c r="H56" s="645"/>
      <c r="I56" s="1617"/>
      <c r="J56" s="1618"/>
      <c r="K56" s="646"/>
      <c r="L56" s="646" t="str">
        <f t="shared" si="4"/>
        <v/>
      </c>
      <c r="M56" s="647"/>
      <c r="N56" s="672"/>
      <c r="O56" s="672"/>
      <c r="P56" s="672"/>
      <c r="Q56" s="672"/>
      <c r="R56" s="672"/>
      <c r="S56" s="672"/>
      <c r="T56" s="672"/>
      <c r="XFC56" s="674">
        <f t="shared" si="1"/>
        <v>0</v>
      </c>
      <c r="XFD56" s="678">
        <f t="shared" si="2"/>
        <v>0</v>
      </c>
    </row>
    <row r="57" spans="1:20 16383:16384" s="674" customFormat="1" ht="13.5" hidden="1" thickBot="1" x14ac:dyDescent="0.25">
      <c r="A57" s="291"/>
      <c r="B57" s="291"/>
      <c r="C57" s="637">
        <v>0</v>
      </c>
      <c r="D57" s="643"/>
      <c r="E57" s="644">
        <v>0</v>
      </c>
      <c r="F57" s="645"/>
      <c r="G57" s="645"/>
      <c r="H57" s="645"/>
      <c r="I57" s="1617"/>
      <c r="J57" s="1618"/>
      <c r="K57" s="646"/>
      <c r="L57" s="646" t="str">
        <f t="shared" si="4"/>
        <v/>
      </c>
      <c r="M57" s="647"/>
      <c r="N57" s="672"/>
      <c r="O57" s="672"/>
      <c r="P57" s="672"/>
      <c r="Q57" s="672"/>
      <c r="R57" s="672"/>
      <c r="S57" s="672"/>
      <c r="T57" s="672"/>
      <c r="XFC57" s="674">
        <f t="shared" si="1"/>
        <v>0</v>
      </c>
      <c r="XFD57" s="678">
        <f t="shared" si="2"/>
        <v>0</v>
      </c>
    </row>
    <row r="58" spans="1:20 16383:16384" s="674" customFormat="1" ht="13.5" hidden="1" thickBot="1" x14ac:dyDescent="0.25">
      <c r="A58" s="291"/>
      <c r="B58" s="291"/>
      <c r="C58" s="637">
        <v>0</v>
      </c>
      <c r="D58" s="643"/>
      <c r="E58" s="644">
        <v>0</v>
      </c>
      <c r="F58" s="645"/>
      <c r="G58" s="645"/>
      <c r="H58" s="645"/>
      <c r="I58" s="1617"/>
      <c r="J58" s="1618"/>
      <c r="K58" s="648"/>
      <c r="L58" s="646" t="str">
        <f t="shared" si="4"/>
        <v/>
      </c>
      <c r="M58" s="649"/>
      <c r="N58" s="672"/>
      <c r="O58" s="672"/>
      <c r="P58" s="672"/>
      <c r="Q58" s="672"/>
      <c r="R58" s="672"/>
      <c r="S58" s="672"/>
      <c r="T58" s="672"/>
      <c r="XFC58" s="674">
        <f t="shared" si="1"/>
        <v>0</v>
      </c>
      <c r="XFD58" s="678">
        <f t="shared" si="2"/>
        <v>0</v>
      </c>
    </row>
    <row r="59" spans="1:20 16383:16384" s="674" customFormat="1" ht="13.5" hidden="1" thickBot="1" x14ac:dyDescent="0.25">
      <c r="A59" s="291"/>
      <c r="B59" s="291"/>
      <c r="C59" s="637">
        <v>0</v>
      </c>
      <c r="D59" s="643"/>
      <c r="E59" s="650">
        <v>0</v>
      </c>
      <c r="F59" s="645"/>
      <c r="G59" s="645"/>
      <c r="H59" s="645"/>
      <c r="I59" s="1617"/>
      <c r="J59" s="1618"/>
      <c r="K59" s="648"/>
      <c r="L59" s="646" t="str">
        <f t="shared" si="4"/>
        <v/>
      </c>
      <c r="M59" s="649"/>
      <c r="N59" s="672"/>
      <c r="O59" s="672"/>
      <c r="P59" s="672"/>
      <c r="Q59" s="672"/>
      <c r="R59" s="672"/>
      <c r="S59" s="672"/>
      <c r="T59" s="672"/>
      <c r="XFC59" s="674">
        <f t="shared" si="1"/>
        <v>0</v>
      </c>
      <c r="XFD59" s="678">
        <f t="shared" si="2"/>
        <v>0</v>
      </c>
    </row>
    <row r="60" spans="1:20 16383:16384" s="674" customFormat="1" ht="13.5" hidden="1" thickBot="1" x14ac:dyDescent="0.25">
      <c r="A60" s="291"/>
      <c r="B60" s="291"/>
      <c r="C60" s="637">
        <v>0</v>
      </c>
      <c r="D60" s="643"/>
      <c r="E60" s="650">
        <v>0</v>
      </c>
      <c r="F60" s="645"/>
      <c r="G60" s="645"/>
      <c r="H60" s="645"/>
      <c r="I60" s="1617"/>
      <c r="J60" s="1618"/>
      <c r="K60" s="648"/>
      <c r="L60" s="646" t="str">
        <f t="shared" si="4"/>
        <v/>
      </c>
      <c r="M60" s="649"/>
      <c r="N60" s="672"/>
      <c r="O60" s="672"/>
      <c r="P60" s="672"/>
      <c r="Q60" s="672"/>
      <c r="R60" s="672"/>
      <c r="S60" s="672"/>
      <c r="T60" s="672"/>
      <c r="XFC60" s="674">
        <f t="shared" si="1"/>
        <v>0</v>
      </c>
      <c r="XFD60" s="678">
        <f t="shared" si="2"/>
        <v>0</v>
      </c>
    </row>
    <row r="61" spans="1:20 16383:16384" s="674" customFormat="1" ht="13.5" hidden="1" thickBot="1" x14ac:dyDescent="0.25">
      <c r="A61" s="291"/>
      <c r="B61" s="291"/>
      <c r="C61" s="637">
        <v>0</v>
      </c>
      <c r="D61" s="643"/>
      <c r="E61" s="650">
        <v>0</v>
      </c>
      <c r="F61" s="645"/>
      <c r="G61" s="645"/>
      <c r="H61" s="645"/>
      <c r="I61" s="1617"/>
      <c r="J61" s="1618"/>
      <c r="K61" s="648"/>
      <c r="L61" s="646" t="str">
        <f t="shared" si="4"/>
        <v/>
      </c>
      <c r="M61" s="649"/>
      <c r="N61" s="672"/>
      <c r="O61" s="672"/>
      <c r="P61" s="672"/>
      <c r="Q61" s="672"/>
      <c r="R61" s="672"/>
      <c r="S61" s="672"/>
      <c r="T61" s="672"/>
      <c r="XFC61" s="674">
        <f t="shared" si="1"/>
        <v>0</v>
      </c>
      <c r="XFD61" s="678">
        <f t="shared" si="2"/>
        <v>0</v>
      </c>
    </row>
    <row r="62" spans="1:20 16383:16384" s="674" customFormat="1" ht="13.5" hidden="1" thickBot="1" x14ac:dyDescent="0.25">
      <c r="A62" s="291"/>
      <c r="B62" s="291"/>
      <c r="C62" s="637">
        <v>0</v>
      </c>
      <c r="D62" s="643"/>
      <c r="E62" s="650">
        <v>0</v>
      </c>
      <c r="F62" s="645"/>
      <c r="G62" s="645"/>
      <c r="H62" s="645"/>
      <c r="I62" s="1617"/>
      <c r="J62" s="1618"/>
      <c r="K62" s="648"/>
      <c r="L62" s="646" t="str">
        <f t="shared" si="4"/>
        <v/>
      </c>
      <c r="M62" s="649"/>
      <c r="N62" s="672"/>
      <c r="O62" s="672"/>
      <c r="P62" s="672"/>
      <c r="Q62" s="672"/>
      <c r="R62" s="672"/>
      <c r="S62" s="672"/>
      <c r="T62" s="672"/>
      <c r="XFC62" s="674">
        <f t="shared" si="1"/>
        <v>0</v>
      </c>
      <c r="XFD62" s="678">
        <f t="shared" si="2"/>
        <v>0</v>
      </c>
    </row>
    <row r="63" spans="1:20 16383:16384" s="674" customFormat="1" ht="13.5" hidden="1" thickBot="1" x14ac:dyDescent="0.25">
      <c r="A63" s="291"/>
      <c r="B63" s="291"/>
      <c r="C63" s="637">
        <v>0</v>
      </c>
      <c r="D63" s="643"/>
      <c r="E63" s="650">
        <v>0</v>
      </c>
      <c r="F63" s="645"/>
      <c r="G63" s="645"/>
      <c r="H63" s="645"/>
      <c r="I63" s="1617"/>
      <c r="J63" s="1618"/>
      <c r="K63" s="648"/>
      <c r="L63" s="646" t="str">
        <f t="shared" si="4"/>
        <v/>
      </c>
      <c r="M63" s="649"/>
      <c r="N63" s="672"/>
      <c r="O63" s="672"/>
      <c r="P63" s="672"/>
      <c r="Q63" s="672"/>
      <c r="R63" s="672"/>
      <c r="S63" s="672"/>
      <c r="T63" s="672"/>
      <c r="XFC63" s="674">
        <f t="shared" si="1"/>
        <v>0</v>
      </c>
      <c r="XFD63" s="678">
        <f t="shared" si="2"/>
        <v>0</v>
      </c>
    </row>
    <row r="64" spans="1:20 16383:16384" s="674" customFormat="1" ht="13.5" hidden="1" thickBot="1" x14ac:dyDescent="0.25">
      <c r="A64" s="291"/>
      <c r="B64" s="291"/>
      <c r="C64" s="637">
        <v>0</v>
      </c>
      <c r="D64" s="643"/>
      <c r="E64" s="650">
        <v>0</v>
      </c>
      <c r="F64" s="645"/>
      <c r="G64" s="645"/>
      <c r="H64" s="645"/>
      <c r="I64" s="1617"/>
      <c r="J64" s="1618"/>
      <c r="K64" s="648"/>
      <c r="L64" s="646" t="str">
        <f t="shared" si="4"/>
        <v/>
      </c>
      <c r="M64" s="649"/>
      <c r="N64" s="672"/>
      <c r="O64" s="672"/>
      <c r="P64" s="672"/>
      <c r="Q64" s="672"/>
      <c r="R64" s="672"/>
      <c r="S64" s="672"/>
      <c r="T64" s="672"/>
      <c r="XFC64" s="674">
        <f t="shared" si="1"/>
        <v>0</v>
      </c>
      <c r="XFD64" s="678">
        <f t="shared" si="2"/>
        <v>0</v>
      </c>
    </row>
    <row r="65" spans="1:20 16383:16384" s="674" customFormat="1" ht="13.5" hidden="1" thickBot="1" x14ac:dyDescent="0.25">
      <c r="A65" s="291"/>
      <c r="B65" s="291"/>
      <c r="C65" s="637">
        <v>0</v>
      </c>
      <c r="D65" s="643"/>
      <c r="E65" s="650">
        <v>0</v>
      </c>
      <c r="F65" s="645"/>
      <c r="G65" s="645"/>
      <c r="H65" s="645"/>
      <c r="I65" s="1617"/>
      <c r="J65" s="1618"/>
      <c r="K65" s="648"/>
      <c r="L65" s="646" t="str">
        <f t="shared" si="4"/>
        <v/>
      </c>
      <c r="M65" s="649"/>
      <c r="N65" s="672"/>
      <c r="O65" s="672"/>
      <c r="P65" s="672"/>
      <c r="Q65" s="672"/>
      <c r="R65" s="672"/>
      <c r="S65" s="672"/>
      <c r="T65" s="672"/>
      <c r="XFC65" s="674">
        <f t="shared" si="1"/>
        <v>0</v>
      </c>
      <c r="XFD65" s="678">
        <f t="shared" si="2"/>
        <v>0</v>
      </c>
    </row>
    <row r="66" spans="1:20 16383:16384" s="674" customFormat="1" ht="13.5" hidden="1" thickBot="1" x14ac:dyDescent="0.25">
      <c r="A66" s="291"/>
      <c r="B66" s="291"/>
      <c r="C66" s="637">
        <v>0</v>
      </c>
      <c r="D66" s="643"/>
      <c r="E66" s="650">
        <v>0</v>
      </c>
      <c r="F66" s="645"/>
      <c r="G66" s="645"/>
      <c r="H66" s="645"/>
      <c r="I66" s="1617"/>
      <c r="J66" s="1618"/>
      <c r="K66" s="648"/>
      <c r="L66" s="646" t="str">
        <f t="shared" si="4"/>
        <v/>
      </c>
      <c r="M66" s="649"/>
      <c r="N66" s="672"/>
      <c r="O66" s="672"/>
      <c r="P66" s="672"/>
      <c r="Q66" s="672"/>
      <c r="R66" s="672"/>
      <c r="S66" s="672"/>
      <c r="T66" s="672"/>
      <c r="XFC66" s="674">
        <f t="shared" si="1"/>
        <v>0</v>
      </c>
      <c r="XFD66" s="678">
        <f t="shared" si="2"/>
        <v>0</v>
      </c>
    </row>
    <row r="67" spans="1:20 16383:16384" s="674" customFormat="1" ht="13.5" hidden="1" thickBot="1" x14ac:dyDescent="0.25">
      <c r="A67" s="291"/>
      <c r="B67" s="291"/>
      <c r="C67" s="637">
        <v>0</v>
      </c>
      <c r="D67" s="643"/>
      <c r="E67" s="650">
        <v>0</v>
      </c>
      <c r="F67" s="645"/>
      <c r="G67" s="645"/>
      <c r="H67" s="645"/>
      <c r="I67" s="1617"/>
      <c r="J67" s="1618"/>
      <c r="K67" s="648"/>
      <c r="L67" s="646" t="str">
        <f t="shared" si="4"/>
        <v/>
      </c>
      <c r="M67" s="649"/>
      <c r="N67" s="672"/>
      <c r="O67" s="672"/>
      <c r="P67" s="672"/>
      <c r="Q67" s="672"/>
      <c r="R67" s="672"/>
      <c r="S67" s="672"/>
      <c r="T67" s="672"/>
      <c r="XFC67" s="674">
        <f t="shared" si="1"/>
        <v>0</v>
      </c>
      <c r="XFD67" s="678">
        <f t="shared" si="2"/>
        <v>0</v>
      </c>
    </row>
    <row r="68" spans="1:20 16383:16384" s="674" customFormat="1" ht="13.5" hidden="1" thickBot="1" x14ac:dyDescent="0.25">
      <c r="A68" s="291"/>
      <c r="B68" s="291"/>
      <c r="C68" s="637">
        <v>0</v>
      </c>
      <c r="D68" s="643"/>
      <c r="E68" s="650">
        <v>0</v>
      </c>
      <c r="F68" s="645"/>
      <c r="G68" s="645"/>
      <c r="H68" s="645"/>
      <c r="I68" s="1617"/>
      <c r="J68" s="1618"/>
      <c r="K68" s="648"/>
      <c r="L68" s="646" t="str">
        <f t="shared" si="4"/>
        <v/>
      </c>
      <c r="M68" s="649"/>
      <c r="N68" s="672"/>
      <c r="O68" s="672"/>
      <c r="P68" s="672"/>
      <c r="Q68" s="672"/>
      <c r="R68" s="672"/>
      <c r="S68" s="672"/>
      <c r="T68" s="672"/>
      <c r="XFC68" s="674">
        <f t="shared" si="1"/>
        <v>0</v>
      </c>
      <c r="XFD68" s="678">
        <f t="shared" si="2"/>
        <v>0</v>
      </c>
    </row>
    <row r="69" spans="1:20 16383:16384" s="674" customFormat="1" ht="13.5" hidden="1" thickBot="1" x14ac:dyDescent="0.25">
      <c r="A69" s="291"/>
      <c r="B69" s="291"/>
      <c r="C69" s="637">
        <v>0</v>
      </c>
      <c r="D69" s="643"/>
      <c r="E69" s="650">
        <v>0</v>
      </c>
      <c r="F69" s="645"/>
      <c r="G69" s="645"/>
      <c r="H69" s="645"/>
      <c r="I69" s="1617"/>
      <c r="J69" s="1618"/>
      <c r="K69" s="648"/>
      <c r="L69" s="646" t="str">
        <f t="shared" si="4"/>
        <v/>
      </c>
      <c r="M69" s="649"/>
      <c r="N69" s="672"/>
      <c r="O69" s="672"/>
      <c r="P69" s="672"/>
      <c r="Q69" s="672"/>
      <c r="R69" s="672"/>
      <c r="S69" s="672"/>
      <c r="T69" s="672"/>
      <c r="XFC69" s="674">
        <f t="shared" si="1"/>
        <v>0</v>
      </c>
      <c r="XFD69" s="678">
        <f t="shared" si="2"/>
        <v>0</v>
      </c>
    </row>
    <row r="70" spans="1:20 16383:16384" s="674" customFormat="1" ht="13.5" hidden="1" thickBot="1" x14ac:dyDescent="0.25">
      <c r="A70" s="291"/>
      <c r="B70" s="291"/>
      <c r="C70" s="637">
        <v>0</v>
      </c>
      <c r="D70" s="643"/>
      <c r="E70" s="650">
        <v>0</v>
      </c>
      <c r="F70" s="645"/>
      <c r="G70" s="645"/>
      <c r="H70" s="645"/>
      <c r="I70" s="1617"/>
      <c r="J70" s="1618"/>
      <c r="K70" s="648"/>
      <c r="L70" s="646" t="str">
        <f t="shared" si="4"/>
        <v/>
      </c>
      <c r="M70" s="649"/>
      <c r="N70" s="672"/>
      <c r="O70" s="672"/>
      <c r="P70" s="672"/>
      <c r="Q70" s="672"/>
      <c r="R70" s="672"/>
      <c r="S70" s="672"/>
      <c r="T70" s="672"/>
      <c r="XFC70" s="674">
        <f t="shared" si="1"/>
        <v>0</v>
      </c>
      <c r="XFD70" s="678">
        <f t="shared" si="2"/>
        <v>0</v>
      </c>
    </row>
    <row r="71" spans="1:20 16383:16384" s="674" customFormat="1" ht="13.5" hidden="1" thickBot="1" x14ac:dyDescent="0.25">
      <c r="A71" s="291"/>
      <c r="B71" s="291"/>
      <c r="C71" s="637">
        <v>0</v>
      </c>
      <c r="D71" s="643"/>
      <c r="E71" s="650">
        <v>0</v>
      </c>
      <c r="F71" s="645"/>
      <c r="G71" s="645"/>
      <c r="H71" s="645"/>
      <c r="I71" s="1617"/>
      <c r="J71" s="1618"/>
      <c r="K71" s="648"/>
      <c r="L71" s="646" t="str">
        <f t="shared" si="4"/>
        <v/>
      </c>
      <c r="M71" s="649"/>
      <c r="N71" s="672"/>
      <c r="O71" s="672"/>
      <c r="P71" s="672"/>
      <c r="Q71" s="672"/>
      <c r="R71" s="672"/>
      <c r="S71" s="672"/>
      <c r="T71" s="672"/>
      <c r="XFC71" s="674">
        <f t="shared" si="1"/>
        <v>0</v>
      </c>
      <c r="XFD71" s="678">
        <f t="shared" si="2"/>
        <v>0</v>
      </c>
    </row>
    <row r="72" spans="1:20 16383:16384" s="674" customFormat="1" ht="13.5" thickBot="1" x14ac:dyDescent="0.25">
      <c r="A72" s="291"/>
      <c r="B72" s="291"/>
      <c r="C72" s="291"/>
      <c r="D72" s="651"/>
      <c r="E72" s="652"/>
      <c r="F72" s="652"/>
      <c r="G72" s="652"/>
      <c r="H72" s="653" t="s">
        <v>1317</v>
      </c>
      <c r="I72" s="1619">
        <v>0</v>
      </c>
      <c r="J72" s="1620"/>
      <c r="K72" s="654">
        <f>SUM(K12:K71)</f>
        <v>61339500</v>
      </c>
      <c r="L72" s="654"/>
      <c r="M72" s="654"/>
      <c r="N72" s="672"/>
      <c r="O72" s="672"/>
      <c r="P72" s="672"/>
      <c r="Q72" s="672"/>
      <c r="R72" s="672"/>
      <c r="S72" s="672"/>
      <c r="T72" s="672"/>
      <c r="XFC72" s="673"/>
      <c r="XFD72" s="672"/>
    </row>
    <row r="73" spans="1:20 16383:16384" s="674" customFormat="1" ht="1.5" customHeight="1" x14ac:dyDescent="0.2">
      <c r="A73" s="291"/>
      <c r="B73" s="291"/>
      <c r="C73" s="291"/>
      <c r="D73" s="291"/>
      <c r="E73" s="291"/>
      <c r="F73" s="291"/>
      <c r="G73" s="291"/>
      <c r="H73" s="291"/>
      <c r="I73" s="291"/>
      <c r="J73" s="291"/>
      <c r="K73" s="291"/>
      <c r="L73" s="291"/>
      <c r="M73" s="291"/>
      <c r="N73" s="672"/>
      <c r="O73" s="672"/>
      <c r="P73" s="672"/>
      <c r="Q73" s="672"/>
      <c r="R73" s="672"/>
      <c r="S73" s="672"/>
      <c r="T73" s="672"/>
      <c r="XFC73" s="673"/>
      <c r="XFD73" s="672"/>
    </row>
    <row r="74" spans="1:20 16383:16384" s="674" customFormat="1" ht="9" hidden="1" customHeight="1" x14ac:dyDescent="0.2">
      <c r="A74" s="291"/>
      <c r="B74" s="291"/>
      <c r="C74" s="291"/>
      <c r="D74" s="291"/>
      <c r="E74" s="291"/>
      <c r="F74" s="291"/>
      <c r="G74" s="291"/>
      <c r="H74" s="291"/>
      <c r="I74" s="291"/>
      <c r="J74" s="291"/>
      <c r="K74" s="291"/>
      <c r="L74" s="291"/>
      <c r="M74" s="291"/>
      <c r="N74" s="672"/>
      <c r="O74" s="672"/>
      <c r="P74" s="672"/>
      <c r="Q74" s="672"/>
      <c r="R74" s="672"/>
      <c r="S74" s="672"/>
      <c r="T74" s="672"/>
      <c r="XFC74" s="673"/>
      <c r="XFD74" s="672"/>
    </row>
    <row r="75" spans="1:20 16383:16384" s="674" customFormat="1" hidden="1" x14ac:dyDescent="0.2">
      <c r="A75" s="291"/>
      <c r="B75" s="291"/>
      <c r="C75" s="291"/>
      <c r="D75" s="291"/>
      <c r="E75" s="291"/>
      <c r="F75" s="291"/>
      <c r="G75" s="291"/>
      <c r="H75" s="291"/>
      <c r="I75" s="291"/>
      <c r="J75" s="291"/>
      <c r="K75" s="291"/>
      <c r="L75" s="291"/>
      <c r="M75" s="291"/>
      <c r="N75" s="672"/>
      <c r="O75" s="672"/>
      <c r="P75" s="672"/>
      <c r="Q75" s="672"/>
      <c r="R75" s="672"/>
      <c r="S75" s="672"/>
      <c r="T75" s="672"/>
      <c r="XFC75" s="673"/>
      <c r="XFD75" s="672"/>
    </row>
    <row r="76" spans="1:20 16383:16384" s="674" customFormat="1" hidden="1" x14ac:dyDescent="0.2">
      <c r="A76" s="291"/>
      <c r="B76" s="291"/>
      <c r="C76" s="291"/>
      <c r="D76" s="291"/>
      <c r="E76" s="291"/>
      <c r="F76" s="291"/>
      <c r="G76" s="291"/>
      <c r="H76" s="291"/>
      <c r="I76" s="291"/>
      <c r="J76" s="291"/>
      <c r="K76" s="291"/>
      <c r="L76" s="291"/>
      <c r="M76" s="291"/>
      <c r="N76" s="672"/>
      <c r="O76" s="672"/>
      <c r="P76" s="672"/>
      <c r="Q76" s="672"/>
      <c r="R76" s="672"/>
      <c r="S76" s="672"/>
      <c r="T76" s="672"/>
      <c r="XFC76" s="673"/>
      <c r="XFD76" s="672"/>
    </row>
    <row r="77" spans="1:20 16383:16384" s="674" customFormat="1" hidden="1" x14ac:dyDescent="0.2">
      <c r="A77" s="291"/>
      <c r="B77" s="291"/>
      <c r="C77" s="291"/>
      <c r="D77" s="291"/>
      <c r="E77" s="291"/>
      <c r="F77" s="291"/>
      <c r="G77" s="291"/>
      <c r="H77" s="291"/>
      <c r="I77" s="291"/>
      <c r="J77" s="291"/>
      <c r="K77" s="291"/>
      <c r="L77" s="291"/>
      <c r="M77" s="291"/>
      <c r="N77" s="672"/>
      <c r="O77" s="672"/>
      <c r="P77" s="672"/>
      <c r="Q77" s="672"/>
      <c r="R77" s="672"/>
      <c r="S77" s="672"/>
      <c r="T77" s="672"/>
      <c r="XFC77" s="673"/>
      <c r="XFD77" s="672"/>
    </row>
    <row r="78" spans="1:20 16383:16384" s="674" customFormat="1" hidden="1" x14ac:dyDescent="0.2">
      <c r="A78" s="291"/>
      <c r="B78" s="291"/>
      <c r="C78" s="291"/>
      <c r="D78" s="291"/>
      <c r="E78" s="291"/>
      <c r="F78" s="291"/>
      <c r="G78" s="291"/>
      <c r="H78" s="291"/>
      <c r="I78" s="291"/>
      <c r="J78" s="291"/>
      <c r="K78" s="291"/>
      <c r="L78" s="291"/>
      <c r="M78" s="291"/>
      <c r="N78" s="672"/>
      <c r="O78" s="672"/>
      <c r="P78" s="672"/>
      <c r="Q78" s="672"/>
      <c r="R78" s="672"/>
      <c r="S78" s="672"/>
      <c r="T78" s="672"/>
      <c r="XFC78" s="673"/>
      <c r="XFD78" s="672"/>
    </row>
    <row r="79" spans="1:20 16383:16384" s="674" customFormat="1" x14ac:dyDescent="0.2">
      <c r="A79" s="291"/>
      <c r="B79" s="291"/>
      <c r="C79" s="291"/>
      <c r="D79" s="291"/>
      <c r="E79" s="291"/>
      <c r="F79" s="291"/>
      <c r="G79" s="291"/>
      <c r="H79" s="291"/>
      <c r="I79" s="291"/>
      <c r="J79" s="291"/>
      <c r="K79" s="291"/>
      <c r="L79" s="291"/>
      <c r="M79" s="291"/>
      <c r="N79" s="672"/>
      <c r="O79" s="672"/>
      <c r="P79" s="672"/>
      <c r="Q79" s="672"/>
      <c r="R79" s="672"/>
      <c r="S79" s="672"/>
      <c r="T79" s="672"/>
      <c r="XFC79" s="673"/>
      <c r="XFD79" s="672"/>
    </row>
    <row r="80" spans="1:20 16383:16384" s="674" customFormat="1" x14ac:dyDescent="0.2">
      <c r="A80" s="291"/>
      <c r="B80" s="291"/>
      <c r="C80" s="291"/>
      <c r="D80" s="696" t="s">
        <v>1318</v>
      </c>
      <c r="E80" s="675"/>
      <c r="F80" s="675"/>
      <c r="G80" s="291"/>
      <c r="H80" s="291"/>
      <c r="I80" s="291"/>
      <c r="J80" s="291"/>
      <c r="K80" s="291"/>
      <c r="L80" s="291"/>
      <c r="M80" s="291"/>
      <c r="N80" s="672"/>
      <c r="O80" s="672"/>
      <c r="P80" s="672"/>
      <c r="Q80" s="672"/>
      <c r="R80" s="672"/>
      <c r="S80" s="672"/>
      <c r="T80" s="672"/>
      <c r="XFC80" s="673"/>
      <c r="XFD80" s="672"/>
    </row>
    <row r="81" spans="1:20 16383:16384" s="700" customFormat="1" ht="13.5" thickBot="1" x14ac:dyDescent="0.25">
      <c r="A81" s="697"/>
      <c r="B81" s="697"/>
      <c r="C81" s="697"/>
      <c r="D81" s="697"/>
      <c r="E81" s="697"/>
      <c r="F81" s="697"/>
      <c r="G81" s="697"/>
      <c r="H81" s="697"/>
      <c r="I81" s="697"/>
      <c r="J81" s="697"/>
      <c r="K81" s="697"/>
      <c r="L81" s="697"/>
      <c r="M81" s="697"/>
      <c r="N81" s="698"/>
      <c r="O81" s="698"/>
      <c r="P81" s="698"/>
      <c r="Q81" s="698"/>
      <c r="R81" s="698"/>
      <c r="S81" s="698"/>
      <c r="T81" s="698"/>
      <c r="XFC81" s="699"/>
      <c r="XFD81" s="698"/>
    </row>
    <row r="82" spans="1:20 16383:16384" s="674" customFormat="1" ht="64.5" thickBot="1" x14ac:dyDescent="0.25">
      <c r="A82" s="291"/>
      <c r="B82" s="291"/>
      <c r="C82" s="291"/>
      <c r="D82" s="631" t="s">
        <v>1307</v>
      </c>
      <c r="E82" s="632" t="s">
        <v>1308</v>
      </c>
      <c r="F82" s="632" t="s">
        <v>1309</v>
      </c>
      <c r="G82" s="632" t="s">
        <v>1310</v>
      </c>
      <c r="H82" s="632" t="s">
        <v>1311</v>
      </c>
      <c r="I82" s="632" t="s">
        <v>1312</v>
      </c>
      <c r="J82" s="655" t="s">
        <v>1319</v>
      </c>
      <c r="K82" s="633" t="s">
        <v>1320</v>
      </c>
      <c r="L82" s="634" t="s">
        <v>1314</v>
      </c>
      <c r="M82" s="656" t="s">
        <v>1321</v>
      </c>
      <c r="N82" s="672"/>
      <c r="O82" s="657" t="s">
        <v>1322</v>
      </c>
      <c r="P82" s="672"/>
      <c r="Q82" s="672"/>
      <c r="R82" s="672"/>
      <c r="S82" s="672"/>
      <c r="T82" s="672"/>
      <c r="XFC82" s="673"/>
      <c r="XFD82" s="636" t="s">
        <v>1323</v>
      </c>
    </row>
    <row r="83" spans="1:20 16383:16384" s="674" customFormat="1" x14ac:dyDescent="0.2">
      <c r="A83" s="291"/>
      <c r="B83" s="291"/>
      <c r="C83" s="637">
        <v>0</v>
      </c>
      <c r="D83" s="658">
        <v>900256365</v>
      </c>
      <c r="E83" s="639">
        <v>0</v>
      </c>
      <c r="F83" s="659" t="s">
        <v>2106</v>
      </c>
      <c r="G83" s="659" t="s">
        <v>2107</v>
      </c>
      <c r="H83" s="659" t="s">
        <v>2108</v>
      </c>
      <c r="I83" s="641">
        <v>12563000</v>
      </c>
      <c r="J83" s="641">
        <f>+I83*2.5/100</f>
        <v>314075</v>
      </c>
      <c r="K83" s="641">
        <v>310000</v>
      </c>
      <c r="L83" s="641" t="s">
        <v>2109</v>
      </c>
      <c r="M83" s="660">
        <f>+J83-K83</f>
        <v>4075</v>
      </c>
      <c r="N83" s="672"/>
      <c r="O83" s="701">
        <f>IFERROR((+K83/I83),0)</f>
        <v>2.4675634800604952E-2</v>
      </c>
      <c r="P83" s="672"/>
      <c r="Q83" s="672"/>
      <c r="R83" s="672"/>
      <c r="S83" s="672"/>
      <c r="T83" s="672"/>
      <c r="XFC83" s="674">
        <f t="shared" ref="XFC83:XFC146" si="5">IF(AND(K83&gt;0,L83=""),1,0)</f>
        <v>0</v>
      </c>
      <c r="XFD83" s="678">
        <f>+K83</f>
        <v>310000</v>
      </c>
    </row>
    <row r="84" spans="1:20 16383:16384" s="674" customFormat="1" x14ac:dyDescent="0.2">
      <c r="A84" s="291"/>
      <c r="B84" s="291"/>
      <c r="C84" s="637">
        <v>0</v>
      </c>
      <c r="D84" s="661"/>
      <c r="E84" s="644">
        <v>0</v>
      </c>
      <c r="F84" s="662"/>
      <c r="G84" s="662"/>
      <c r="H84" s="662"/>
      <c r="I84" s="646"/>
      <c r="J84" s="646"/>
      <c r="K84" s="646"/>
      <c r="L84" s="646"/>
      <c r="M84" s="663">
        <f>+J84-K84</f>
        <v>0</v>
      </c>
      <c r="N84" s="672"/>
      <c r="O84" s="701">
        <f t="shared" ref="O84:O147" si="6">IFERROR((+K84/I84),0)</f>
        <v>0</v>
      </c>
      <c r="P84" s="672"/>
      <c r="Q84" s="672"/>
      <c r="R84" s="672"/>
      <c r="S84" s="672"/>
      <c r="T84" s="672"/>
      <c r="XFC84" s="674">
        <f t="shared" si="5"/>
        <v>0</v>
      </c>
      <c r="XFD84" s="678">
        <f t="shared" ref="XFD84:XFD147" si="7">+K84</f>
        <v>0</v>
      </c>
    </row>
    <row r="85" spans="1:20 16383:16384" s="674" customFormat="1" x14ac:dyDescent="0.2">
      <c r="A85" s="291"/>
      <c r="B85" s="291"/>
      <c r="C85" s="637">
        <v>0</v>
      </c>
      <c r="D85" s="661"/>
      <c r="E85" s="644">
        <v>0</v>
      </c>
      <c r="F85" s="662"/>
      <c r="G85" s="662"/>
      <c r="H85" s="662"/>
      <c r="I85" s="646"/>
      <c r="J85" s="646"/>
      <c r="K85" s="646"/>
      <c r="L85" s="646">
        <f>+L84</f>
        <v>0</v>
      </c>
      <c r="M85" s="663">
        <f t="shared" ref="M85:M339" si="8">+J85-K85</f>
        <v>0</v>
      </c>
      <c r="N85" s="672"/>
      <c r="O85" s="701">
        <f t="shared" si="6"/>
        <v>0</v>
      </c>
      <c r="P85" s="672"/>
      <c r="Q85" s="672"/>
      <c r="R85" s="672"/>
      <c r="S85" s="672"/>
      <c r="T85" s="672"/>
      <c r="XFC85" s="674">
        <f t="shared" si="5"/>
        <v>0</v>
      </c>
      <c r="XFD85" s="678">
        <f t="shared" si="7"/>
        <v>0</v>
      </c>
    </row>
    <row r="86" spans="1:20 16383:16384" s="674" customFormat="1" x14ac:dyDescent="0.2">
      <c r="A86" s="291"/>
      <c r="B86" s="291"/>
      <c r="C86" s="637">
        <v>0</v>
      </c>
      <c r="D86" s="661"/>
      <c r="E86" s="644">
        <v>0</v>
      </c>
      <c r="F86" s="662"/>
      <c r="G86" s="662"/>
      <c r="H86" s="662"/>
      <c r="I86" s="646"/>
      <c r="J86" s="646"/>
      <c r="K86" s="646"/>
      <c r="L86" s="646">
        <f t="shared" ref="L86:L104" si="9">+L85</f>
        <v>0</v>
      </c>
      <c r="M86" s="663">
        <f t="shared" si="8"/>
        <v>0</v>
      </c>
      <c r="N86" s="672"/>
      <c r="O86" s="701">
        <f t="shared" si="6"/>
        <v>0</v>
      </c>
      <c r="P86" s="672"/>
      <c r="Q86" s="672"/>
      <c r="R86" s="672"/>
      <c r="S86" s="672"/>
      <c r="T86" s="672"/>
      <c r="XFC86" s="674">
        <f t="shared" si="5"/>
        <v>0</v>
      </c>
      <c r="XFD86" s="678">
        <f t="shared" si="7"/>
        <v>0</v>
      </c>
    </row>
    <row r="87" spans="1:20 16383:16384" s="674" customFormat="1" x14ac:dyDescent="0.2">
      <c r="A87" s="291"/>
      <c r="B87" s="291"/>
      <c r="C87" s="637">
        <v>0</v>
      </c>
      <c r="D87" s="661"/>
      <c r="E87" s="644">
        <v>0</v>
      </c>
      <c r="F87" s="662"/>
      <c r="G87" s="662"/>
      <c r="H87" s="662"/>
      <c r="I87" s="646"/>
      <c r="J87" s="646"/>
      <c r="K87" s="646"/>
      <c r="L87" s="646">
        <f t="shared" si="9"/>
        <v>0</v>
      </c>
      <c r="M87" s="663">
        <f t="shared" si="8"/>
        <v>0</v>
      </c>
      <c r="N87" s="672"/>
      <c r="O87" s="701">
        <f t="shared" si="6"/>
        <v>0</v>
      </c>
      <c r="P87" s="672"/>
      <c r="Q87" s="672"/>
      <c r="R87" s="672"/>
      <c r="S87" s="672"/>
      <c r="T87" s="672"/>
      <c r="XFC87" s="674">
        <f t="shared" si="5"/>
        <v>0</v>
      </c>
      <c r="XFD87" s="678">
        <f t="shared" si="7"/>
        <v>0</v>
      </c>
    </row>
    <row r="88" spans="1:20 16383:16384" s="674" customFormat="1" x14ac:dyDescent="0.2">
      <c r="A88" s="291"/>
      <c r="B88" s="291"/>
      <c r="C88" s="637">
        <v>0</v>
      </c>
      <c r="D88" s="661"/>
      <c r="E88" s="644">
        <v>0</v>
      </c>
      <c r="F88" s="662"/>
      <c r="G88" s="662"/>
      <c r="H88" s="662"/>
      <c r="I88" s="646"/>
      <c r="J88" s="646"/>
      <c r="K88" s="646"/>
      <c r="L88" s="646">
        <f t="shared" si="9"/>
        <v>0</v>
      </c>
      <c r="M88" s="663">
        <f t="shared" si="8"/>
        <v>0</v>
      </c>
      <c r="N88" s="672"/>
      <c r="O88" s="701">
        <f t="shared" si="6"/>
        <v>0</v>
      </c>
      <c r="P88" s="672"/>
      <c r="Q88" s="672"/>
      <c r="R88" s="672"/>
      <c r="S88" s="672"/>
      <c r="T88" s="672"/>
      <c r="XFC88" s="674">
        <f t="shared" si="5"/>
        <v>0</v>
      </c>
      <c r="XFD88" s="678">
        <f t="shared" si="7"/>
        <v>0</v>
      </c>
    </row>
    <row r="89" spans="1:20 16383:16384" s="674" customFormat="1" x14ac:dyDescent="0.2">
      <c r="A89" s="291"/>
      <c r="B89" s="291"/>
      <c r="C89" s="637">
        <v>0</v>
      </c>
      <c r="D89" s="661"/>
      <c r="E89" s="644">
        <v>0</v>
      </c>
      <c r="F89" s="662"/>
      <c r="G89" s="662"/>
      <c r="H89" s="662"/>
      <c r="I89" s="646"/>
      <c r="J89" s="646"/>
      <c r="K89" s="646"/>
      <c r="L89" s="646">
        <f t="shared" si="9"/>
        <v>0</v>
      </c>
      <c r="M89" s="663">
        <f t="shared" si="8"/>
        <v>0</v>
      </c>
      <c r="N89" s="672"/>
      <c r="O89" s="701">
        <f t="shared" si="6"/>
        <v>0</v>
      </c>
      <c r="P89" s="672"/>
      <c r="Q89" s="672"/>
      <c r="R89" s="672"/>
      <c r="S89" s="672"/>
      <c r="T89" s="672"/>
      <c r="XFC89" s="674">
        <f t="shared" si="5"/>
        <v>0</v>
      </c>
      <c r="XFD89" s="678">
        <f t="shared" si="7"/>
        <v>0</v>
      </c>
    </row>
    <row r="90" spans="1:20 16383:16384" s="674" customFormat="1" x14ac:dyDescent="0.2">
      <c r="A90" s="291"/>
      <c r="B90" s="291"/>
      <c r="C90" s="637">
        <v>0</v>
      </c>
      <c r="D90" s="661"/>
      <c r="E90" s="644">
        <v>0</v>
      </c>
      <c r="F90" s="662"/>
      <c r="G90" s="662"/>
      <c r="H90" s="662"/>
      <c r="I90" s="646"/>
      <c r="J90" s="646"/>
      <c r="K90" s="646"/>
      <c r="L90" s="646">
        <f t="shared" si="9"/>
        <v>0</v>
      </c>
      <c r="M90" s="663">
        <f t="shared" si="8"/>
        <v>0</v>
      </c>
      <c r="N90" s="672"/>
      <c r="O90" s="701">
        <f t="shared" si="6"/>
        <v>0</v>
      </c>
      <c r="P90" s="672"/>
      <c r="Q90" s="672"/>
      <c r="R90" s="672"/>
      <c r="S90" s="672"/>
      <c r="T90" s="672"/>
      <c r="XFC90" s="674">
        <f t="shared" si="5"/>
        <v>0</v>
      </c>
      <c r="XFD90" s="678">
        <f t="shared" si="7"/>
        <v>0</v>
      </c>
    </row>
    <row r="91" spans="1:20 16383:16384" s="674" customFormat="1" x14ac:dyDescent="0.2">
      <c r="A91" s="291"/>
      <c r="B91" s="291"/>
      <c r="C91" s="637">
        <v>0</v>
      </c>
      <c r="D91" s="661"/>
      <c r="E91" s="644">
        <v>0</v>
      </c>
      <c r="F91" s="662"/>
      <c r="G91" s="662"/>
      <c r="H91" s="662"/>
      <c r="I91" s="646"/>
      <c r="J91" s="646"/>
      <c r="K91" s="646"/>
      <c r="L91" s="646">
        <f t="shared" si="9"/>
        <v>0</v>
      </c>
      <c r="M91" s="663">
        <f t="shared" si="8"/>
        <v>0</v>
      </c>
      <c r="N91" s="672"/>
      <c r="O91" s="701">
        <f t="shared" si="6"/>
        <v>0</v>
      </c>
      <c r="P91" s="672"/>
      <c r="Q91" s="672"/>
      <c r="R91" s="672"/>
      <c r="S91" s="672"/>
      <c r="T91" s="672"/>
      <c r="XFC91" s="674">
        <f t="shared" si="5"/>
        <v>0</v>
      </c>
      <c r="XFD91" s="678">
        <f t="shared" si="7"/>
        <v>0</v>
      </c>
    </row>
    <row r="92" spans="1:20 16383:16384" s="674" customFormat="1" x14ac:dyDescent="0.2">
      <c r="A92" s="291"/>
      <c r="B92" s="291"/>
      <c r="C92" s="637">
        <v>0</v>
      </c>
      <c r="D92" s="661"/>
      <c r="E92" s="644">
        <v>0</v>
      </c>
      <c r="F92" s="662"/>
      <c r="G92" s="662"/>
      <c r="H92" s="662"/>
      <c r="I92" s="646"/>
      <c r="J92" s="646"/>
      <c r="K92" s="646"/>
      <c r="L92" s="646">
        <f t="shared" si="9"/>
        <v>0</v>
      </c>
      <c r="M92" s="663">
        <f t="shared" si="8"/>
        <v>0</v>
      </c>
      <c r="N92" s="672"/>
      <c r="O92" s="701">
        <f t="shared" si="6"/>
        <v>0</v>
      </c>
      <c r="P92" s="672"/>
      <c r="Q92" s="672"/>
      <c r="R92" s="672"/>
      <c r="S92" s="672"/>
      <c r="T92" s="672"/>
      <c r="XFC92" s="674">
        <f t="shared" si="5"/>
        <v>0</v>
      </c>
      <c r="XFD92" s="678">
        <f t="shared" si="7"/>
        <v>0</v>
      </c>
    </row>
    <row r="93" spans="1:20 16383:16384" s="674" customFormat="1" x14ac:dyDescent="0.2">
      <c r="A93" s="291"/>
      <c r="B93" s="291"/>
      <c r="C93" s="637">
        <v>0</v>
      </c>
      <c r="D93" s="661"/>
      <c r="E93" s="644">
        <v>0</v>
      </c>
      <c r="F93" s="662"/>
      <c r="G93" s="662"/>
      <c r="H93" s="662"/>
      <c r="I93" s="646"/>
      <c r="J93" s="646"/>
      <c r="K93" s="646"/>
      <c r="L93" s="646">
        <f t="shared" si="9"/>
        <v>0</v>
      </c>
      <c r="M93" s="663">
        <f t="shared" si="8"/>
        <v>0</v>
      </c>
      <c r="N93" s="672"/>
      <c r="O93" s="701">
        <f t="shared" si="6"/>
        <v>0</v>
      </c>
      <c r="P93" s="672"/>
      <c r="Q93" s="672"/>
      <c r="R93" s="672"/>
      <c r="S93" s="672"/>
      <c r="T93" s="672"/>
      <c r="XFC93" s="674">
        <f t="shared" si="5"/>
        <v>0</v>
      </c>
      <c r="XFD93" s="678">
        <f t="shared" si="7"/>
        <v>0</v>
      </c>
    </row>
    <row r="94" spans="1:20 16383:16384" s="674" customFormat="1" x14ac:dyDescent="0.2">
      <c r="A94" s="291"/>
      <c r="B94" s="291"/>
      <c r="C94" s="637">
        <v>0</v>
      </c>
      <c r="D94" s="661"/>
      <c r="E94" s="644">
        <v>0</v>
      </c>
      <c r="F94" s="662"/>
      <c r="G94" s="662"/>
      <c r="H94" s="662"/>
      <c r="I94" s="646"/>
      <c r="J94" s="646"/>
      <c r="K94" s="646"/>
      <c r="L94" s="646">
        <f t="shared" si="9"/>
        <v>0</v>
      </c>
      <c r="M94" s="663">
        <f t="shared" si="8"/>
        <v>0</v>
      </c>
      <c r="N94" s="672"/>
      <c r="O94" s="701">
        <f t="shared" si="6"/>
        <v>0</v>
      </c>
      <c r="P94" s="672"/>
      <c r="Q94" s="672"/>
      <c r="R94" s="672"/>
      <c r="S94" s="672"/>
      <c r="T94" s="672"/>
      <c r="XFC94" s="674">
        <f t="shared" si="5"/>
        <v>0</v>
      </c>
      <c r="XFD94" s="678">
        <f t="shared" si="7"/>
        <v>0</v>
      </c>
    </row>
    <row r="95" spans="1:20 16383:16384" s="674" customFormat="1" x14ac:dyDescent="0.2">
      <c r="A95" s="291"/>
      <c r="B95" s="291"/>
      <c r="C95" s="637">
        <v>0</v>
      </c>
      <c r="D95" s="661"/>
      <c r="E95" s="644">
        <v>0</v>
      </c>
      <c r="F95" s="662"/>
      <c r="G95" s="662"/>
      <c r="H95" s="662"/>
      <c r="I95" s="646"/>
      <c r="J95" s="646"/>
      <c r="K95" s="646"/>
      <c r="L95" s="646">
        <f t="shared" si="9"/>
        <v>0</v>
      </c>
      <c r="M95" s="663">
        <f t="shared" si="8"/>
        <v>0</v>
      </c>
      <c r="N95" s="672"/>
      <c r="O95" s="701">
        <f t="shared" si="6"/>
        <v>0</v>
      </c>
      <c r="P95" s="672"/>
      <c r="Q95" s="672"/>
      <c r="R95" s="672"/>
      <c r="S95" s="672"/>
      <c r="T95" s="672"/>
      <c r="XFC95" s="674">
        <f t="shared" si="5"/>
        <v>0</v>
      </c>
      <c r="XFD95" s="678">
        <f t="shared" si="7"/>
        <v>0</v>
      </c>
    </row>
    <row r="96" spans="1:20 16383:16384" s="674" customFormat="1" x14ac:dyDescent="0.2">
      <c r="A96" s="291"/>
      <c r="B96" s="291"/>
      <c r="C96" s="637">
        <v>0</v>
      </c>
      <c r="D96" s="661"/>
      <c r="E96" s="644">
        <v>0</v>
      </c>
      <c r="F96" s="662"/>
      <c r="G96" s="662"/>
      <c r="H96" s="662"/>
      <c r="I96" s="646"/>
      <c r="J96" s="646"/>
      <c r="K96" s="646"/>
      <c r="L96" s="646">
        <f t="shared" si="9"/>
        <v>0</v>
      </c>
      <c r="M96" s="663">
        <f t="shared" si="8"/>
        <v>0</v>
      </c>
      <c r="N96" s="672"/>
      <c r="O96" s="701">
        <f t="shared" si="6"/>
        <v>0</v>
      </c>
      <c r="P96" s="672"/>
      <c r="Q96" s="672"/>
      <c r="R96" s="672"/>
      <c r="S96" s="672"/>
      <c r="T96" s="672"/>
      <c r="XFC96" s="674">
        <f t="shared" si="5"/>
        <v>0</v>
      </c>
      <c r="XFD96" s="678">
        <f t="shared" si="7"/>
        <v>0</v>
      </c>
    </row>
    <row r="97" spans="1:20 16383:16384" s="674" customFormat="1" x14ac:dyDescent="0.2">
      <c r="A97" s="291"/>
      <c r="B97" s="291"/>
      <c r="C97" s="637">
        <v>0</v>
      </c>
      <c r="D97" s="661"/>
      <c r="E97" s="644">
        <v>0</v>
      </c>
      <c r="F97" s="662"/>
      <c r="G97" s="662"/>
      <c r="H97" s="662"/>
      <c r="I97" s="646"/>
      <c r="J97" s="646"/>
      <c r="K97" s="646"/>
      <c r="L97" s="646">
        <f t="shared" si="9"/>
        <v>0</v>
      </c>
      <c r="M97" s="663">
        <f t="shared" si="8"/>
        <v>0</v>
      </c>
      <c r="N97" s="672"/>
      <c r="O97" s="701">
        <f t="shared" si="6"/>
        <v>0</v>
      </c>
      <c r="P97" s="672"/>
      <c r="Q97" s="672"/>
      <c r="R97" s="672"/>
      <c r="S97" s="672"/>
      <c r="T97" s="672"/>
      <c r="XFC97" s="674">
        <f t="shared" si="5"/>
        <v>0</v>
      </c>
      <c r="XFD97" s="678">
        <f t="shared" si="7"/>
        <v>0</v>
      </c>
    </row>
    <row r="98" spans="1:20 16383:16384" s="674" customFormat="1" x14ac:dyDescent="0.2">
      <c r="A98" s="291"/>
      <c r="B98" s="291"/>
      <c r="C98" s="637">
        <v>0</v>
      </c>
      <c r="D98" s="661"/>
      <c r="E98" s="644">
        <v>0</v>
      </c>
      <c r="F98" s="662"/>
      <c r="G98" s="662"/>
      <c r="H98" s="662"/>
      <c r="I98" s="646"/>
      <c r="J98" s="646"/>
      <c r="K98" s="646"/>
      <c r="L98" s="646">
        <f t="shared" si="9"/>
        <v>0</v>
      </c>
      <c r="M98" s="663">
        <f t="shared" si="8"/>
        <v>0</v>
      </c>
      <c r="N98" s="672"/>
      <c r="O98" s="701">
        <f t="shared" si="6"/>
        <v>0</v>
      </c>
      <c r="P98" s="672"/>
      <c r="Q98" s="672"/>
      <c r="R98" s="672"/>
      <c r="S98" s="672"/>
      <c r="T98" s="672"/>
      <c r="XFC98" s="674">
        <f t="shared" si="5"/>
        <v>0</v>
      </c>
      <c r="XFD98" s="678">
        <f t="shared" si="7"/>
        <v>0</v>
      </c>
    </row>
    <row r="99" spans="1:20 16383:16384" s="674" customFormat="1" x14ac:dyDescent="0.2">
      <c r="A99" s="291"/>
      <c r="B99" s="291"/>
      <c r="C99" s="637">
        <v>0</v>
      </c>
      <c r="D99" s="661"/>
      <c r="E99" s="644">
        <v>0</v>
      </c>
      <c r="F99" s="662"/>
      <c r="G99" s="662"/>
      <c r="H99" s="662"/>
      <c r="I99" s="646"/>
      <c r="J99" s="646"/>
      <c r="K99" s="646"/>
      <c r="L99" s="646">
        <f t="shared" si="9"/>
        <v>0</v>
      </c>
      <c r="M99" s="663">
        <f t="shared" si="8"/>
        <v>0</v>
      </c>
      <c r="N99" s="672"/>
      <c r="O99" s="701">
        <f t="shared" si="6"/>
        <v>0</v>
      </c>
      <c r="P99" s="672"/>
      <c r="Q99" s="672"/>
      <c r="R99" s="672"/>
      <c r="S99" s="672"/>
      <c r="T99" s="672"/>
      <c r="XFC99" s="674">
        <f t="shared" si="5"/>
        <v>0</v>
      </c>
      <c r="XFD99" s="678">
        <f t="shared" si="7"/>
        <v>0</v>
      </c>
    </row>
    <row r="100" spans="1:20 16383:16384" s="674" customFormat="1" x14ac:dyDescent="0.2">
      <c r="A100" s="291"/>
      <c r="B100" s="291"/>
      <c r="C100" s="637">
        <v>0</v>
      </c>
      <c r="D100" s="661"/>
      <c r="E100" s="644">
        <v>0</v>
      </c>
      <c r="F100" s="662"/>
      <c r="G100" s="662"/>
      <c r="H100" s="662"/>
      <c r="I100" s="646"/>
      <c r="J100" s="646"/>
      <c r="K100" s="646"/>
      <c r="L100" s="646">
        <f t="shared" si="9"/>
        <v>0</v>
      </c>
      <c r="M100" s="663">
        <f t="shared" si="8"/>
        <v>0</v>
      </c>
      <c r="N100" s="672"/>
      <c r="O100" s="701">
        <f t="shared" si="6"/>
        <v>0</v>
      </c>
      <c r="P100" s="672"/>
      <c r="Q100" s="672"/>
      <c r="R100" s="672"/>
      <c r="S100" s="672"/>
      <c r="T100" s="672"/>
      <c r="XFC100" s="674">
        <f t="shared" si="5"/>
        <v>0</v>
      </c>
      <c r="XFD100" s="678">
        <f t="shared" si="7"/>
        <v>0</v>
      </c>
    </row>
    <row r="101" spans="1:20 16383:16384" s="674" customFormat="1" x14ac:dyDescent="0.2">
      <c r="A101" s="291"/>
      <c r="B101" s="291"/>
      <c r="C101" s="637">
        <v>0</v>
      </c>
      <c r="D101" s="661"/>
      <c r="E101" s="644">
        <v>0</v>
      </c>
      <c r="F101" s="662"/>
      <c r="G101" s="662"/>
      <c r="H101" s="662"/>
      <c r="I101" s="646"/>
      <c r="J101" s="646"/>
      <c r="K101" s="646"/>
      <c r="L101" s="646">
        <f t="shared" si="9"/>
        <v>0</v>
      </c>
      <c r="M101" s="663">
        <f t="shared" si="8"/>
        <v>0</v>
      </c>
      <c r="N101" s="672"/>
      <c r="O101" s="701">
        <f t="shared" si="6"/>
        <v>0</v>
      </c>
      <c r="P101" s="672"/>
      <c r="Q101" s="672"/>
      <c r="R101" s="672"/>
      <c r="S101" s="672"/>
      <c r="T101" s="672"/>
      <c r="XFC101" s="674">
        <f t="shared" si="5"/>
        <v>0</v>
      </c>
      <c r="XFD101" s="678">
        <f t="shared" si="7"/>
        <v>0</v>
      </c>
    </row>
    <row r="102" spans="1:20 16383:16384" s="674" customFormat="1" x14ac:dyDescent="0.2">
      <c r="A102" s="291"/>
      <c r="B102" s="291"/>
      <c r="C102" s="637">
        <v>0</v>
      </c>
      <c r="D102" s="661"/>
      <c r="E102" s="644">
        <v>0</v>
      </c>
      <c r="F102" s="662"/>
      <c r="G102" s="662"/>
      <c r="H102" s="662"/>
      <c r="I102" s="646"/>
      <c r="J102" s="646"/>
      <c r="K102" s="646"/>
      <c r="L102" s="646">
        <f t="shared" si="9"/>
        <v>0</v>
      </c>
      <c r="M102" s="663">
        <f t="shared" si="8"/>
        <v>0</v>
      </c>
      <c r="N102" s="672"/>
      <c r="O102" s="701">
        <f t="shared" si="6"/>
        <v>0</v>
      </c>
      <c r="P102" s="672"/>
      <c r="Q102" s="672"/>
      <c r="R102" s="672"/>
      <c r="S102" s="672"/>
      <c r="T102" s="672"/>
      <c r="XFC102" s="674">
        <f t="shared" si="5"/>
        <v>0</v>
      </c>
      <c r="XFD102" s="678">
        <f t="shared" si="7"/>
        <v>0</v>
      </c>
    </row>
    <row r="103" spans="1:20 16383:16384" s="674" customFormat="1" x14ac:dyDescent="0.2">
      <c r="A103" s="291"/>
      <c r="B103" s="291"/>
      <c r="C103" s="637">
        <v>0</v>
      </c>
      <c r="D103" s="661"/>
      <c r="E103" s="644">
        <v>0</v>
      </c>
      <c r="F103" s="662"/>
      <c r="G103" s="662"/>
      <c r="H103" s="662"/>
      <c r="I103" s="646"/>
      <c r="J103" s="646"/>
      <c r="K103" s="646"/>
      <c r="L103" s="646">
        <f t="shared" si="9"/>
        <v>0</v>
      </c>
      <c r="M103" s="663">
        <f t="shared" si="8"/>
        <v>0</v>
      </c>
      <c r="N103" s="672"/>
      <c r="O103" s="701">
        <f t="shared" si="6"/>
        <v>0</v>
      </c>
      <c r="P103" s="672"/>
      <c r="Q103" s="672"/>
      <c r="R103" s="672"/>
      <c r="S103" s="672"/>
      <c r="T103" s="672"/>
      <c r="XFC103" s="674">
        <f t="shared" si="5"/>
        <v>0</v>
      </c>
      <c r="XFD103" s="678">
        <f t="shared" si="7"/>
        <v>0</v>
      </c>
    </row>
    <row r="104" spans="1:20 16383:16384" s="674" customFormat="1" x14ac:dyDescent="0.2">
      <c r="A104" s="291"/>
      <c r="B104" s="291"/>
      <c r="C104" s="637">
        <v>0</v>
      </c>
      <c r="D104" s="661"/>
      <c r="E104" s="644">
        <v>0</v>
      </c>
      <c r="F104" s="662"/>
      <c r="G104" s="662"/>
      <c r="H104" s="662"/>
      <c r="I104" s="646"/>
      <c r="J104" s="646"/>
      <c r="K104" s="646"/>
      <c r="L104" s="646">
        <f t="shared" si="9"/>
        <v>0</v>
      </c>
      <c r="M104" s="663">
        <f t="shared" si="8"/>
        <v>0</v>
      </c>
      <c r="N104" s="672"/>
      <c r="O104" s="701">
        <f t="shared" si="6"/>
        <v>0</v>
      </c>
      <c r="P104" s="672"/>
      <c r="Q104" s="672"/>
      <c r="R104" s="672"/>
      <c r="S104" s="672"/>
      <c r="T104" s="672"/>
      <c r="XFC104" s="674">
        <f t="shared" si="5"/>
        <v>0</v>
      </c>
      <c r="XFD104" s="678">
        <f t="shared" si="7"/>
        <v>0</v>
      </c>
    </row>
    <row r="105" spans="1:20 16383:16384" s="674" customFormat="1" x14ac:dyDescent="0.2">
      <c r="A105" s="291"/>
      <c r="B105" s="291"/>
      <c r="C105" s="637">
        <v>0</v>
      </c>
      <c r="D105" s="661"/>
      <c r="E105" s="644">
        <v>0</v>
      </c>
      <c r="F105" s="662"/>
      <c r="G105" s="662"/>
      <c r="H105" s="662"/>
      <c r="I105" s="646"/>
      <c r="J105" s="646"/>
      <c r="K105" s="646"/>
      <c r="L105" s="646">
        <f t="shared" ref="L105:L168" si="10">IF(L104="","",L104)</f>
        <v>0</v>
      </c>
      <c r="M105" s="663">
        <f t="shared" si="8"/>
        <v>0</v>
      </c>
      <c r="N105" s="672"/>
      <c r="O105" s="701">
        <f t="shared" si="6"/>
        <v>0</v>
      </c>
      <c r="P105" s="672"/>
      <c r="Q105" s="672"/>
      <c r="R105" s="672"/>
      <c r="S105" s="672"/>
      <c r="T105" s="672"/>
      <c r="XFC105" s="674">
        <f t="shared" si="5"/>
        <v>0</v>
      </c>
      <c r="XFD105" s="678">
        <f t="shared" si="7"/>
        <v>0</v>
      </c>
    </row>
    <row r="106" spans="1:20 16383:16384" s="674" customFormat="1" x14ac:dyDescent="0.2">
      <c r="A106" s="291"/>
      <c r="B106" s="291"/>
      <c r="C106" s="637">
        <v>0</v>
      </c>
      <c r="D106" s="661"/>
      <c r="E106" s="644">
        <v>0</v>
      </c>
      <c r="F106" s="662"/>
      <c r="G106" s="662"/>
      <c r="H106" s="662"/>
      <c r="I106" s="646"/>
      <c r="J106" s="646"/>
      <c r="K106" s="646"/>
      <c r="L106" s="646">
        <f t="shared" si="10"/>
        <v>0</v>
      </c>
      <c r="M106" s="663">
        <f t="shared" si="8"/>
        <v>0</v>
      </c>
      <c r="N106" s="672"/>
      <c r="O106" s="701">
        <f t="shared" si="6"/>
        <v>0</v>
      </c>
      <c r="P106" s="672"/>
      <c r="Q106" s="672"/>
      <c r="R106" s="672"/>
      <c r="S106" s="672"/>
      <c r="T106" s="672"/>
      <c r="XFC106" s="674">
        <f t="shared" si="5"/>
        <v>0</v>
      </c>
      <c r="XFD106" s="678">
        <f t="shared" si="7"/>
        <v>0</v>
      </c>
    </row>
    <row r="107" spans="1:20 16383:16384" s="674" customFormat="1" x14ac:dyDescent="0.2">
      <c r="A107" s="291"/>
      <c r="B107" s="291"/>
      <c r="C107" s="637">
        <v>0</v>
      </c>
      <c r="D107" s="661"/>
      <c r="E107" s="644">
        <v>0</v>
      </c>
      <c r="F107" s="662"/>
      <c r="G107" s="662"/>
      <c r="H107" s="662"/>
      <c r="I107" s="646"/>
      <c r="J107" s="646"/>
      <c r="K107" s="646"/>
      <c r="L107" s="646">
        <f t="shared" si="10"/>
        <v>0</v>
      </c>
      <c r="M107" s="663">
        <f t="shared" si="8"/>
        <v>0</v>
      </c>
      <c r="N107" s="672"/>
      <c r="O107" s="701">
        <f t="shared" si="6"/>
        <v>0</v>
      </c>
      <c r="P107" s="672"/>
      <c r="Q107" s="672"/>
      <c r="R107" s="672"/>
      <c r="S107" s="672"/>
      <c r="T107" s="672"/>
      <c r="XFC107" s="674">
        <f t="shared" si="5"/>
        <v>0</v>
      </c>
      <c r="XFD107" s="678">
        <f t="shared" si="7"/>
        <v>0</v>
      </c>
    </row>
    <row r="108" spans="1:20 16383:16384" s="674" customFormat="1" x14ac:dyDescent="0.2">
      <c r="A108" s="291"/>
      <c r="B108" s="291"/>
      <c r="C108" s="637">
        <v>0</v>
      </c>
      <c r="D108" s="661"/>
      <c r="E108" s="644">
        <v>0</v>
      </c>
      <c r="F108" s="662"/>
      <c r="G108" s="662"/>
      <c r="H108" s="662"/>
      <c r="I108" s="646"/>
      <c r="J108" s="646"/>
      <c r="K108" s="646"/>
      <c r="L108" s="646">
        <f t="shared" si="10"/>
        <v>0</v>
      </c>
      <c r="M108" s="663">
        <f t="shared" si="8"/>
        <v>0</v>
      </c>
      <c r="N108" s="672"/>
      <c r="O108" s="701">
        <f t="shared" si="6"/>
        <v>0</v>
      </c>
      <c r="P108" s="672"/>
      <c r="Q108" s="672"/>
      <c r="R108" s="672"/>
      <c r="S108" s="672"/>
      <c r="T108" s="672"/>
      <c r="XFC108" s="674">
        <f t="shared" si="5"/>
        <v>0</v>
      </c>
      <c r="XFD108" s="678">
        <f t="shared" si="7"/>
        <v>0</v>
      </c>
    </row>
    <row r="109" spans="1:20 16383:16384" s="674" customFormat="1" x14ac:dyDescent="0.2">
      <c r="A109" s="291"/>
      <c r="B109" s="291"/>
      <c r="C109" s="637">
        <v>0</v>
      </c>
      <c r="D109" s="661"/>
      <c r="E109" s="644">
        <v>0</v>
      </c>
      <c r="F109" s="662"/>
      <c r="G109" s="662"/>
      <c r="H109" s="662"/>
      <c r="I109" s="646"/>
      <c r="J109" s="646"/>
      <c r="K109" s="646"/>
      <c r="L109" s="646">
        <f t="shared" si="10"/>
        <v>0</v>
      </c>
      <c r="M109" s="663">
        <f t="shared" si="8"/>
        <v>0</v>
      </c>
      <c r="N109" s="672"/>
      <c r="O109" s="701">
        <f t="shared" si="6"/>
        <v>0</v>
      </c>
      <c r="P109" s="672"/>
      <c r="Q109" s="672"/>
      <c r="R109" s="672"/>
      <c r="S109" s="672"/>
      <c r="T109" s="672"/>
      <c r="XFC109" s="674">
        <f t="shared" si="5"/>
        <v>0</v>
      </c>
      <c r="XFD109" s="678">
        <f t="shared" si="7"/>
        <v>0</v>
      </c>
    </row>
    <row r="110" spans="1:20 16383:16384" s="674" customFormat="1" hidden="1" outlineLevel="1" x14ac:dyDescent="0.2">
      <c r="A110" s="291"/>
      <c r="B110" s="291"/>
      <c r="C110" s="637">
        <v>0</v>
      </c>
      <c r="D110" s="661"/>
      <c r="E110" s="644">
        <v>0</v>
      </c>
      <c r="F110" s="662"/>
      <c r="G110" s="662"/>
      <c r="H110" s="662"/>
      <c r="I110" s="646"/>
      <c r="J110" s="646"/>
      <c r="K110" s="646"/>
      <c r="L110" s="646">
        <f t="shared" si="10"/>
        <v>0</v>
      </c>
      <c r="M110" s="663">
        <f t="shared" si="8"/>
        <v>0</v>
      </c>
      <c r="N110" s="672"/>
      <c r="O110" s="701">
        <f t="shared" si="6"/>
        <v>0</v>
      </c>
      <c r="P110" s="672"/>
      <c r="Q110" s="672"/>
      <c r="R110" s="672"/>
      <c r="S110" s="672"/>
      <c r="T110" s="672"/>
      <c r="XFC110" s="674">
        <f t="shared" si="5"/>
        <v>0</v>
      </c>
      <c r="XFD110" s="678">
        <f t="shared" si="7"/>
        <v>0</v>
      </c>
    </row>
    <row r="111" spans="1:20 16383:16384" s="674" customFormat="1" hidden="1" outlineLevel="1" x14ac:dyDescent="0.2">
      <c r="A111" s="291"/>
      <c r="B111" s="291"/>
      <c r="C111" s="637">
        <v>0</v>
      </c>
      <c r="D111" s="661"/>
      <c r="E111" s="644">
        <v>0</v>
      </c>
      <c r="F111" s="662"/>
      <c r="G111" s="662"/>
      <c r="H111" s="662"/>
      <c r="I111" s="646"/>
      <c r="J111" s="646"/>
      <c r="K111" s="646"/>
      <c r="L111" s="646">
        <f t="shared" si="10"/>
        <v>0</v>
      </c>
      <c r="M111" s="663">
        <f t="shared" si="8"/>
        <v>0</v>
      </c>
      <c r="N111" s="672"/>
      <c r="O111" s="701">
        <f t="shared" si="6"/>
        <v>0</v>
      </c>
      <c r="P111" s="672"/>
      <c r="Q111" s="672"/>
      <c r="R111" s="672"/>
      <c r="S111" s="672"/>
      <c r="T111" s="672"/>
      <c r="XFC111" s="674">
        <f t="shared" si="5"/>
        <v>0</v>
      </c>
      <c r="XFD111" s="678">
        <f t="shared" si="7"/>
        <v>0</v>
      </c>
    </row>
    <row r="112" spans="1:20 16383:16384" s="674" customFormat="1" hidden="1" outlineLevel="1" x14ac:dyDescent="0.2">
      <c r="A112" s="291"/>
      <c r="B112" s="291"/>
      <c r="C112" s="637">
        <v>0</v>
      </c>
      <c r="D112" s="661"/>
      <c r="E112" s="644">
        <v>0</v>
      </c>
      <c r="F112" s="662"/>
      <c r="G112" s="662"/>
      <c r="H112" s="662"/>
      <c r="I112" s="646"/>
      <c r="J112" s="646"/>
      <c r="K112" s="646"/>
      <c r="L112" s="646">
        <f t="shared" si="10"/>
        <v>0</v>
      </c>
      <c r="M112" s="663">
        <f t="shared" si="8"/>
        <v>0</v>
      </c>
      <c r="N112" s="672"/>
      <c r="O112" s="701">
        <f t="shared" si="6"/>
        <v>0</v>
      </c>
      <c r="P112" s="672"/>
      <c r="Q112" s="672"/>
      <c r="R112" s="672"/>
      <c r="S112" s="672"/>
      <c r="T112" s="672"/>
      <c r="XFC112" s="674">
        <f t="shared" si="5"/>
        <v>0</v>
      </c>
      <c r="XFD112" s="678">
        <f t="shared" si="7"/>
        <v>0</v>
      </c>
    </row>
    <row r="113" spans="1:20 16383:16384" s="674" customFormat="1" hidden="1" outlineLevel="1" x14ac:dyDescent="0.2">
      <c r="A113" s="291"/>
      <c r="B113" s="291"/>
      <c r="C113" s="637">
        <v>0</v>
      </c>
      <c r="D113" s="661"/>
      <c r="E113" s="644">
        <v>0</v>
      </c>
      <c r="F113" s="662"/>
      <c r="G113" s="662"/>
      <c r="H113" s="662"/>
      <c r="I113" s="646"/>
      <c r="J113" s="646"/>
      <c r="K113" s="646"/>
      <c r="L113" s="646">
        <f t="shared" si="10"/>
        <v>0</v>
      </c>
      <c r="M113" s="663">
        <f t="shared" si="8"/>
        <v>0</v>
      </c>
      <c r="N113" s="672"/>
      <c r="O113" s="701">
        <f t="shared" si="6"/>
        <v>0</v>
      </c>
      <c r="P113" s="672"/>
      <c r="Q113" s="672"/>
      <c r="R113" s="672"/>
      <c r="S113" s="672"/>
      <c r="T113" s="672"/>
      <c r="XFC113" s="674">
        <f t="shared" si="5"/>
        <v>0</v>
      </c>
      <c r="XFD113" s="678">
        <f t="shared" si="7"/>
        <v>0</v>
      </c>
    </row>
    <row r="114" spans="1:20 16383:16384" s="674" customFormat="1" hidden="1" outlineLevel="1" x14ac:dyDescent="0.2">
      <c r="A114" s="291"/>
      <c r="B114" s="291"/>
      <c r="C114" s="637">
        <v>0</v>
      </c>
      <c r="D114" s="661"/>
      <c r="E114" s="644">
        <v>0</v>
      </c>
      <c r="F114" s="662"/>
      <c r="G114" s="662"/>
      <c r="H114" s="662"/>
      <c r="I114" s="646"/>
      <c r="J114" s="646"/>
      <c r="K114" s="646"/>
      <c r="L114" s="646">
        <f t="shared" si="10"/>
        <v>0</v>
      </c>
      <c r="M114" s="663">
        <f t="shared" si="8"/>
        <v>0</v>
      </c>
      <c r="N114" s="672"/>
      <c r="O114" s="701">
        <f t="shared" si="6"/>
        <v>0</v>
      </c>
      <c r="P114" s="672"/>
      <c r="Q114" s="672"/>
      <c r="R114" s="672"/>
      <c r="S114" s="672"/>
      <c r="T114" s="672"/>
      <c r="XFC114" s="674">
        <f t="shared" si="5"/>
        <v>0</v>
      </c>
      <c r="XFD114" s="678">
        <f t="shared" si="7"/>
        <v>0</v>
      </c>
    </row>
    <row r="115" spans="1:20 16383:16384" s="674" customFormat="1" hidden="1" outlineLevel="1" x14ac:dyDescent="0.2">
      <c r="A115" s="291"/>
      <c r="B115" s="291"/>
      <c r="C115" s="637">
        <v>0</v>
      </c>
      <c r="D115" s="661"/>
      <c r="E115" s="644">
        <v>0</v>
      </c>
      <c r="F115" s="662"/>
      <c r="G115" s="662"/>
      <c r="H115" s="662"/>
      <c r="I115" s="646"/>
      <c r="J115" s="646"/>
      <c r="K115" s="646"/>
      <c r="L115" s="646">
        <f t="shared" si="10"/>
        <v>0</v>
      </c>
      <c r="M115" s="663">
        <f t="shared" si="8"/>
        <v>0</v>
      </c>
      <c r="N115" s="672"/>
      <c r="O115" s="701">
        <f t="shared" si="6"/>
        <v>0</v>
      </c>
      <c r="P115" s="672"/>
      <c r="Q115" s="672"/>
      <c r="R115" s="672"/>
      <c r="S115" s="672"/>
      <c r="T115" s="672"/>
      <c r="XFC115" s="674">
        <f t="shared" si="5"/>
        <v>0</v>
      </c>
      <c r="XFD115" s="678">
        <f t="shared" si="7"/>
        <v>0</v>
      </c>
    </row>
    <row r="116" spans="1:20 16383:16384" s="674" customFormat="1" hidden="1" outlineLevel="1" x14ac:dyDescent="0.2">
      <c r="A116" s="291"/>
      <c r="B116" s="291"/>
      <c r="C116" s="637">
        <v>0</v>
      </c>
      <c r="D116" s="661"/>
      <c r="E116" s="644">
        <v>0</v>
      </c>
      <c r="F116" s="662"/>
      <c r="G116" s="662"/>
      <c r="H116" s="662"/>
      <c r="I116" s="646"/>
      <c r="J116" s="646"/>
      <c r="K116" s="646"/>
      <c r="L116" s="646">
        <f t="shared" si="10"/>
        <v>0</v>
      </c>
      <c r="M116" s="663">
        <f t="shared" si="8"/>
        <v>0</v>
      </c>
      <c r="N116" s="672"/>
      <c r="O116" s="701">
        <f t="shared" si="6"/>
        <v>0</v>
      </c>
      <c r="P116" s="672"/>
      <c r="Q116" s="672"/>
      <c r="R116" s="672"/>
      <c r="S116" s="672"/>
      <c r="T116" s="672"/>
      <c r="XFC116" s="674">
        <f t="shared" si="5"/>
        <v>0</v>
      </c>
      <c r="XFD116" s="678">
        <f t="shared" si="7"/>
        <v>0</v>
      </c>
    </row>
    <row r="117" spans="1:20 16383:16384" s="674" customFormat="1" hidden="1" outlineLevel="1" x14ac:dyDescent="0.2">
      <c r="A117" s="291"/>
      <c r="B117" s="291"/>
      <c r="C117" s="637">
        <v>0</v>
      </c>
      <c r="D117" s="661"/>
      <c r="E117" s="644">
        <v>0</v>
      </c>
      <c r="F117" s="662"/>
      <c r="G117" s="662"/>
      <c r="H117" s="662"/>
      <c r="I117" s="646"/>
      <c r="J117" s="646"/>
      <c r="K117" s="646"/>
      <c r="L117" s="646">
        <f t="shared" si="10"/>
        <v>0</v>
      </c>
      <c r="M117" s="663">
        <f t="shared" si="8"/>
        <v>0</v>
      </c>
      <c r="N117" s="672"/>
      <c r="O117" s="701">
        <f t="shared" si="6"/>
        <v>0</v>
      </c>
      <c r="P117" s="672"/>
      <c r="Q117" s="672"/>
      <c r="R117" s="672"/>
      <c r="S117" s="672"/>
      <c r="T117" s="672"/>
      <c r="XFC117" s="674">
        <f t="shared" si="5"/>
        <v>0</v>
      </c>
      <c r="XFD117" s="678">
        <f t="shared" si="7"/>
        <v>0</v>
      </c>
    </row>
    <row r="118" spans="1:20 16383:16384" s="674" customFormat="1" hidden="1" outlineLevel="1" x14ac:dyDescent="0.2">
      <c r="A118" s="291"/>
      <c r="B118" s="291"/>
      <c r="C118" s="637">
        <v>0</v>
      </c>
      <c r="D118" s="661"/>
      <c r="E118" s="644">
        <v>0</v>
      </c>
      <c r="F118" s="662"/>
      <c r="G118" s="662"/>
      <c r="H118" s="662"/>
      <c r="I118" s="646"/>
      <c r="J118" s="646"/>
      <c r="K118" s="646"/>
      <c r="L118" s="646">
        <f t="shared" si="10"/>
        <v>0</v>
      </c>
      <c r="M118" s="663">
        <f t="shared" si="8"/>
        <v>0</v>
      </c>
      <c r="N118" s="672"/>
      <c r="O118" s="701">
        <f t="shared" si="6"/>
        <v>0</v>
      </c>
      <c r="P118" s="672"/>
      <c r="Q118" s="672"/>
      <c r="R118" s="672"/>
      <c r="S118" s="672"/>
      <c r="T118" s="672"/>
      <c r="XFC118" s="674">
        <f t="shared" si="5"/>
        <v>0</v>
      </c>
      <c r="XFD118" s="678">
        <f t="shared" si="7"/>
        <v>0</v>
      </c>
    </row>
    <row r="119" spans="1:20 16383:16384" s="674" customFormat="1" hidden="1" outlineLevel="1" x14ac:dyDescent="0.2">
      <c r="A119" s="291"/>
      <c r="B119" s="291"/>
      <c r="C119" s="637">
        <v>0</v>
      </c>
      <c r="D119" s="661"/>
      <c r="E119" s="644">
        <v>0</v>
      </c>
      <c r="F119" s="662"/>
      <c r="G119" s="662"/>
      <c r="H119" s="662"/>
      <c r="I119" s="646"/>
      <c r="J119" s="646"/>
      <c r="K119" s="646"/>
      <c r="L119" s="646">
        <f t="shared" si="10"/>
        <v>0</v>
      </c>
      <c r="M119" s="663">
        <f t="shared" si="8"/>
        <v>0</v>
      </c>
      <c r="N119" s="672"/>
      <c r="O119" s="701">
        <f t="shared" si="6"/>
        <v>0</v>
      </c>
      <c r="P119" s="672"/>
      <c r="Q119" s="672"/>
      <c r="R119" s="672"/>
      <c r="S119" s="672"/>
      <c r="T119" s="672"/>
      <c r="XFC119" s="674">
        <f t="shared" si="5"/>
        <v>0</v>
      </c>
      <c r="XFD119" s="678">
        <f t="shared" si="7"/>
        <v>0</v>
      </c>
    </row>
    <row r="120" spans="1:20 16383:16384" s="674" customFormat="1" hidden="1" outlineLevel="1" x14ac:dyDescent="0.2">
      <c r="A120" s="291"/>
      <c r="B120" s="291"/>
      <c r="C120" s="637">
        <v>0</v>
      </c>
      <c r="D120" s="661"/>
      <c r="E120" s="644">
        <v>0</v>
      </c>
      <c r="F120" s="662"/>
      <c r="G120" s="662"/>
      <c r="H120" s="662"/>
      <c r="I120" s="646"/>
      <c r="J120" s="646"/>
      <c r="K120" s="646"/>
      <c r="L120" s="646">
        <f t="shared" si="10"/>
        <v>0</v>
      </c>
      <c r="M120" s="663">
        <f t="shared" si="8"/>
        <v>0</v>
      </c>
      <c r="N120" s="672"/>
      <c r="O120" s="701">
        <f t="shared" si="6"/>
        <v>0</v>
      </c>
      <c r="P120" s="672"/>
      <c r="Q120" s="672"/>
      <c r="R120" s="672"/>
      <c r="S120" s="672"/>
      <c r="T120" s="672"/>
      <c r="XFC120" s="674">
        <f t="shared" si="5"/>
        <v>0</v>
      </c>
      <c r="XFD120" s="678">
        <f t="shared" si="7"/>
        <v>0</v>
      </c>
    </row>
    <row r="121" spans="1:20 16383:16384" s="674" customFormat="1" hidden="1" outlineLevel="1" x14ac:dyDescent="0.2">
      <c r="A121" s="291"/>
      <c r="B121" s="291"/>
      <c r="C121" s="637">
        <v>0</v>
      </c>
      <c r="D121" s="661"/>
      <c r="E121" s="644">
        <v>0</v>
      </c>
      <c r="F121" s="662"/>
      <c r="G121" s="662"/>
      <c r="H121" s="662"/>
      <c r="I121" s="646"/>
      <c r="J121" s="646"/>
      <c r="K121" s="646"/>
      <c r="L121" s="646">
        <f t="shared" si="10"/>
        <v>0</v>
      </c>
      <c r="M121" s="663">
        <f t="shared" si="8"/>
        <v>0</v>
      </c>
      <c r="N121" s="672"/>
      <c r="O121" s="701">
        <f t="shared" si="6"/>
        <v>0</v>
      </c>
      <c r="P121" s="672"/>
      <c r="Q121" s="672"/>
      <c r="R121" s="672"/>
      <c r="S121" s="672"/>
      <c r="T121" s="672"/>
      <c r="XFC121" s="674">
        <f t="shared" si="5"/>
        <v>0</v>
      </c>
      <c r="XFD121" s="678">
        <f t="shared" si="7"/>
        <v>0</v>
      </c>
    </row>
    <row r="122" spans="1:20 16383:16384" s="674" customFormat="1" hidden="1" outlineLevel="1" x14ac:dyDescent="0.2">
      <c r="A122" s="291"/>
      <c r="B122" s="291"/>
      <c r="C122" s="637">
        <v>0</v>
      </c>
      <c r="D122" s="661"/>
      <c r="E122" s="644">
        <v>0</v>
      </c>
      <c r="F122" s="662"/>
      <c r="G122" s="662"/>
      <c r="H122" s="662"/>
      <c r="I122" s="646"/>
      <c r="J122" s="646"/>
      <c r="K122" s="646"/>
      <c r="L122" s="646">
        <f t="shared" si="10"/>
        <v>0</v>
      </c>
      <c r="M122" s="663">
        <f t="shared" si="8"/>
        <v>0</v>
      </c>
      <c r="N122" s="672"/>
      <c r="O122" s="701">
        <f t="shared" si="6"/>
        <v>0</v>
      </c>
      <c r="P122" s="672"/>
      <c r="Q122" s="672"/>
      <c r="R122" s="672"/>
      <c r="S122" s="672"/>
      <c r="T122" s="672"/>
      <c r="XFC122" s="674">
        <f t="shared" si="5"/>
        <v>0</v>
      </c>
      <c r="XFD122" s="678">
        <f t="shared" si="7"/>
        <v>0</v>
      </c>
    </row>
    <row r="123" spans="1:20 16383:16384" s="674" customFormat="1" hidden="1" outlineLevel="1" x14ac:dyDescent="0.2">
      <c r="A123" s="291"/>
      <c r="B123" s="291"/>
      <c r="C123" s="637">
        <v>0</v>
      </c>
      <c r="D123" s="661"/>
      <c r="E123" s="644">
        <v>0</v>
      </c>
      <c r="F123" s="662"/>
      <c r="G123" s="662"/>
      <c r="H123" s="662"/>
      <c r="I123" s="646"/>
      <c r="J123" s="646"/>
      <c r="K123" s="646"/>
      <c r="L123" s="646">
        <f t="shared" si="10"/>
        <v>0</v>
      </c>
      <c r="M123" s="663">
        <f t="shared" si="8"/>
        <v>0</v>
      </c>
      <c r="N123" s="672"/>
      <c r="O123" s="701">
        <f t="shared" si="6"/>
        <v>0</v>
      </c>
      <c r="P123" s="672"/>
      <c r="Q123" s="672"/>
      <c r="R123" s="672"/>
      <c r="S123" s="672"/>
      <c r="T123" s="672"/>
      <c r="XFC123" s="674">
        <f t="shared" si="5"/>
        <v>0</v>
      </c>
      <c r="XFD123" s="678">
        <f t="shared" si="7"/>
        <v>0</v>
      </c>
    </row>
    <row r="124" spans="1:20 16383:16384" s="674" customFormat="1" hidden="1" outlineLevel="1" x14ac:dyDescent="0.2">
      <c r="A124" s="291"/>
      <c r="B124" s="291"/>
      <c r="C124" s="637">
        <v>0</v>
      </c>
      <c r="D124" s="661"/>
      <c r="E124" s="644">
        <v>0</v>
      </c>
      <c r="F124" s="662"/>
      <c r="G124" s="662"/>
      <c r="H124" s="662"/>
      <c r="I124" s="646"/>
      <c r="J124" s="646"/>
      <c r="K124" s="646"/>
      <c r="L124" s="646">
        <f t="shared" si="10"/>
        <v>0</v>
      </c>
      <c r="M124" s="663">
        <f t="shared" si="8"/>
        <v>0</v>
      </c>
      <c r="N124" s="672"/>
      <c r="O124" s="701">
        <f t="shared" si="6"/>
        <v>0</v>
      </c>
      <c r="P124" s="672"/>
      <c r="Q124" s="672"/>
      <c r="R124" s="672"/>
      <c r="S124" s="672"/>
      <c r="T124" s="672"/>
      <c r="XFC124" s="674">
        <f t="shared" si="5"/>
        <v>0</v>
      </c>
      <c r="XFD124" s="678">
        <f t="shared" si="7"/>
        <v>0</v>
      </c>
    </row>
    <row r="125" spans="1:20 16383:16384" s="674" customFormat="1" hidden="1" outlineLevel="1" x14ac:dyDescent="0.2">
      <c r="A125" s="291"/>
      <c r="B125" s="291"/>
      <c r="C125" s="637">
        <v>0</v>
      </c>
      <c r="D125" s="661"/>
      <c r="E125" s="644">
        <v>0</v>
      </c>
      <c r="F125" s="662"/>
      <c r="G125" s="662"/>
      <c r="H125" s="662"/>
      <c r="I125" s="646"/>
      <c r="J125" s="646"/>
      <c r="K125" s="646"/>
      <c r="L125" s="646">
        <f t="shared" si="10"/>
        <v>0</v>
      </c>
      <c r="M125" s="663">
        <f t="shared" si="8"/>
        <v>0</v>
      </c>
      <c r="N125" s="672"/>
      <c r="O125" s="701">
        <f t="shared" si="6"/>
        <v>0</v>
      </c>
      <c r="P125" s="672"/>
      <c r="Q125" s="672"/>
      <c r="R125" s="672"/>
      <c r="S125" s="672"/>
      <c r="T125" s="672"/>
      <c r="XFC125" s="674">
        <f t="shared" si="5"/>
        <v>0</v>
      </c>
      <c r="XFD125" s="678">
        <f t="shared" si="7"/>
        <v>0</v>
      </c>
    </row>
    <row r="126" spans="1:20 16383:16384" s="674" customFormat="1" hidden="1" outlineLevel="1" x14ac:dyDescent="0.2">
      <c r="A126" s="291"/>
      <c r="B126" s="291"/>
      <c r="C126" s="637">
        <v>0</v>
      </c>
      <c r="D126" s="661"/>
      <c r="E126" s="644">
        <v>0</v>
      </c>
      <c r="F126" s="662"/>
      <c r="G126" s="662"/>
      <c r="H126" s="662"/>
      <c r="I126" s="646"/>
      <c r="J126" s="646"/>
      <c r="K126" s="646"/>
      <c r="L126" s="646">
        <f t="shared" si="10"/>
        <v>0</v>
      </c>
      <c r="M126" s="663">
        <f t="shared" si="8"/>
        <v>0</v>
      </c>
      <c r="N126" s="672"/>
      <c r="O126" s="701">
        <f t="shared" si="6"/>
        <v>0</v>
      </c>
      <c r="P126" s="672"/>
      <c r="Q126" s="672"/>
      <c r="R126" s="672"/>
      <c r="S126" s="672"/>
      <c r="T126" s="672"/>
      <c r="XFC126" s="674">
        <f t="shared" si="5"/>
        <v>0</v>
      </c>
      <c r="XFD126" s="678">
        <f t="shared" si="7"/>
        <v>0</v>
      </c>
    </row>
    <row r="127" spans="1:20 16383:16384" s="674" customFormat="1" hidden="1" outlineLevel="1" x14ac:dyDescent="0.2">
      <c r="A127" s="291"/>
      <c r="B127" s="291"/>
      <c r="C127" s="637">
        <v>0</v>
      </c>
      <c r="D127" s="661"/>
      <c r="E127" s="644">
        <v>0</v>
      </c>
      <c r="F127" s="662"/>
      <c r="G127" s="662"/>
      <c r="H127" s="662"/>
      <c r="I127" s="646"/>
      <c r="J127" s="646"/>
      <c r="K127" s="646"/>
      <c r="L127" s="646">
        <f t="shared" si="10"/>
        <v>0</v>
      </c>
      <c r="M127" s="663">
        <f t="shared" si="8"/>
        <v>0</v>
      </c>
      <c r="N127" s="672"/>
      <c r="O127" s="701">
        <f t="shared" si="6"/>
        <v>0</v>
      </c>
      <c r="P127" s="672"/>
      <c r="Q127" s="672"/>
      <c r="R127" s="672"/>
      <c r="S127" s="672"/>
      <c r="T127" s="672"/>
      <c r="XFC127" s="674">
        <f t="shared" si="5"/>
        <v>0</v>
      </c>
      <c r="XFD127" s="678">
        <f t="shared" si="7"/>
        <v>0</v>
      </c>
    </row>
    <row r="128" spans="1:20 16383:16384" s="674" customFormat="1" hidden="1" outlineLevel="1" x14ac:dyDescent="0.2">
      <c r="A128" s="291"/>
      <c r="B128" s="291"/>
      <c r="C128" s="637">
        <v>0</v>
      </c>
      <c r="D128" s="661"/>
      <c r="E128" s="644">
        <v>0</v>
      </c>
      <c r="F128" s="662"/>
      <c r="G128" s="662"/>
      <c r="H128" s="662"/>
      <c r="I128" s="646"/>
      <c r="J128" s="646"/>
      <c r="K128" s="646"/>
      <c r="L128" s="646">
        <f t="shared" si="10"/>
        <v>0</v>
      </c>
      <c r="M128" s="663">
        <f t="shared" si="8"/>
        <v>0</v>
      </c>
      <c r="N128" s="672"/>
      <c r="O128" s="701">
        <f t="shared" si="6"/>
        <v>0</v>
      </c>
      <c r="P128" s="672"/>
      <c r="Q128" s="672"/>
      <c r="R128" s="672"/>
      <c r="S128" s="672"/>
      <c r="T128" s="672"/>
      <c r="XFC128" s="674">
        <f t="shared" si="5"/>
        <v>0</v>
      </c>
      <c r="XFD128" s="678">
        <f t="shared" si="7"/>
        <v>0</v>
      </c>
    </row>
    <row r="129" spans="1:20 16383:16384" s="674" customFormat="1" hidden="1" outlineLevel="1" x14ac:dyDescent="0.2">
      <c r="A129" s="291"/>
      <c r="B129" s="291"/>
      <c r="C129" s="637">
        <v>0</v>
      </c>
      <c r="D129" s="661"/>
      <c r="E129" s="644">
        <v>0</v>
      </c>
      <c r="F129" s="662"/>
      <c r="G129" s="662"/>
      <c r="H129" s="662"/>
      <c r="I129" s="646"/>
      <c r="J129" s="646"/>
      <c r="K129" s="646"/>
      <c r="L129" s="646">
        <f t="shared" si="10"/>
        <v>0</v>
      </c>
      <c r="M129" s="663">
        <f t="shared" si="8"/>
        <v>0</v>
      </c>
      <c r="N129" s="672"/>
      <c r="O129" s="701">
        <f t="shared" si="6"/>
        <v>0</v>
      </c>
      <c r="P129" s="672"/>
      <c r="Q129" s="672"/>
      <c r="R129" s="672"/>
      <c r="S129" s="672"/>
      <c r="T129" s="672"/>
      <c r="XFC129" s="674">
        <f t="shared" si="5"/>
        <v>0</v>
      </c>
      <c r="XFD129" s="678">
        <f t="shared" si="7"/>
        <v>0</v>
      </c>
    </row>
    <row r="130" spans="1:20 16383:16384" s="674" customFormat="1" hidden="1" outlineLevel="1" x14ac:dyDescent="0.2">
      <c r="A130" s="291"/>
      <c r="B130" s="291"/>
      <c r="C130" s="637">
        <v>0</v>
      </c>
      <c r="D130" s="661"/>
      <c r="E130" s="644">
        <v>0</v>
      </c>
      <c r="F130" s="662"/>
      <c r="G130" s="662"/>
      <c r="H130" s="662"/>
      <c r="I130" s="646"/>
      <c r="J130" s="646"/>
      <c r="K130" s="646"/>
      <c r="L130" s="646">
        <f t="shared" si="10"/>
        <v>0</v>
      </c>
      <c r="M130" s="663">
        <f t="shared" si="8"/>
        <v>0</v>
      </c>
      <c r="N130" s="672"/>
      <c r="O130" s="701">
        <f t="shared" si="6"/>
        <v>0</v>
      </c>
      <c r="P130" s="672"/>
      <c r="Q130" s="672"/>
      <c r="R130" s="672"/>
      <c r="S130" s="672"/>
      <c r="T130" s="672"/>
      <c r="XFC130" s="674">
        <f t="shared" si="5"/>
        <v>0</v>
      </c>
      <c r="XFD130" s="678">
        <f t="shared" si="7"/>
        <v>0</v>
      </c>
    </row>
    <row r="131" spans="1:20 16383:16384" s="674" customFormat="1" hidden="1" outlineLevel="1" x14ac:dyDescent="0.2">
      <c r="A131" s="291"/>
      <c r="B131" s="291"/>
      <c r="C131" s="637">
        <v>0</v>
      </c>
      <c r="D131" s="661"/>
      <c r="E131" s="644">
        <v>0</v>
      </c>
      <c r="F131" s="662"/>
      <c r="G131" s="662"/>
      <c r="H131" s="662"/>
      <c r="I131" s="646"/>
      <c r="J131" s="646"/>
      <c r="K131" s="646"/>
      <c r="L131" s="646">
        <f t="shared" si="10"/>
        <v>0</v>
      </c>
      <c r="M131" s="663">
        <f t="shared" si="8"/>
        <v>0</v>
      </c>
      <c r="N131" s="672"/>
      <c r="O131" s="701">
        <f t="shared" si="6"/>
        <v>0</v>
      </c>
      <c r="P131" s="672"/>
      <c r="Q131" s="672"/>
      <c r="R131" s="672"/>
      <c r="S131" s="672"/>
      <c r="T131" s="672"/>
      <c r="XFC131" s="674">
        <f t="shared" si="5"/>
        <v>0</v>
      </c>
      <c r="XFD131" s="678">
        <f t="shared" si="7"/>
        <v>0</v>
      </c>
    </row>
    <row r="132" spans="1:20 16383:16384" s="674" customFormat="1" hidden="1" outlineLevel="1" x14ac:dyDescent="0.2">
      <c r="A132" s="291"/>
      <c r="B132" s="291"/>
      <c r="C132" s="637">
        <v>0</v>
      </c>
      <c r="D132" s="661"/>
      <c r="E132" s="644">
        <v>0</v>
      </c>
      <c r="F132" s="662"/>
      <c r="G132" s="662"/>
      <c r="H132" s="662"/>
      <c r="I132" s="646"/>
      <c r="J132" s="646"/>
      <c r="K132" s="646"/>
      <c r="L132" s="646">
        <f t="shared" si="10"/>
        <v>0</v>
      </c>
      <c r="M132" s="663">
        <f t="shared" si="8"/>
        <v>0</v>
      </c>
      <c r="N132" s="672"/>
      <c r="O132" s="701">
        <f t="shared" si="6"/>
        <v>0</v>
      </c>
      <c r="P132" s="672"/>
      <c r="Q132" s="672"/>
      <c r="R132" s="672"/>
      <c r="S132" s="672"/>
      <c r="T132" s="672"/>
      <c r="XFC132" s="674">
        <f t="shared" si="5"/>
        <v>0</v>
      </c>
      <c r="XFD132" s="678">
        <f t="shared" si="7"/>
        <v>0</v>
      </c>
    </row>
    <row r="133" spans="1:20 16383:16384" s="674" customFormat="1" hidden="1" outlineLevel="1" x14ac:dyDescent="0.2">
      <c r="A133" s="291"/>
      <c r="B133" s="291"/>
      <c r="C133" s="637">
        <v>0</v>
      </c>
      <c r="D133" s="661"/>
      <c r="E133" s="644">
        <v>0</v>
      </c>
      <c r="F133" s="662"/>
      <c r="G133" s="662"/>
      <c r="H133" s="662"/>
      <c r="I133" s="646"/>
      <c r="J133" s="646"/>
      <c r="K133" s="646"/>
      <c r="L133" s="646">
        <f t="shared" si="10"/>
        <v>0</v>
      </c>
      <c r="M133" s="663">
        <f t="shared" si="8"/>
        <v>0</v>
      </c>
      <c r="N133" s="672"/>
      <c r="O133" s="701">
        <f t="shared" si="6"/>
        <v>0</v>
      </c>
      <c r="P133" s="672"/>
      <c r="Q133" s="672"/>
      <c r="R133" s="672"/>
      <c r="S133" s="672"/>
      <c r="T133" s="672"/>
      <c r="XFC133" s="674">
        <f t="shared" si="5"/>
        <v>0</v>
      </c>
      <c r="XFD133" s="678">
        <f t="shared" si="7"/>
        <v>0</v>
      </c>
    </row>
    <row r="134" spans="1:20 16383:16384" s="674" customFormat="1" hidden="1" outlineLevel="1" x14ac:dyDescent="0.2">
      <c r="A134" s="291"/>
      <c r="B134" s="291"/>
      <c r="C134" s="637">
        <v>0</v>
      </c>
      <c r="D134" s="661"/>
      <c r="E134" s="644">
        <v>0</v>
      </c>
      <c r="F134" s="662"/>
      <c r="G134" s="662"/>
      <c r="H134" s="662"/>
      <c r="I134" s="646"/>
      <c r="J134" s="646"/>
      <c r="K134" s="646"/>
      <c r="L134" s="646">
        <f t="shared" si="10"/>
        <v>0</v>
      </c>
      <c r="M134" s="663">
        <f t="shared" si="8"/>
        <v>0</v>
      </c>
      <c r="N134" s="672"/>
      <c r="O134" s="701">
        <f t="shared" si="6"/>
        <v>0</v>
      </c>
      <c r="P134" s="672"/>
      <c r="Q134" s="672"/>
      <c r="R134" s="672"/>
      <c r="S134" s="672"/>
      <c r="T134" s="672"/>
      <c r="XFC134" s="674">
        <f t="shared" si="5"/>
        <v>0</v>
      </c>
      <c r="XFD134" s="678">
        <f t="shared" si="7"/>
        <v>0</v>
      </c>
    </row>
    <row r="135" spans="1:20 16383:16384" s="674" customFormat="1" hidden="1" outlineLevel="1" x14ac:dyDescent="0.2">
      <c r="A135" s="291"/>
      <c r="B135" s="291"/>
      <c r="C135" s="637">
        <v>0</v>
      </c>
      <c r="D135" s="661"/>
      <c r="E135" s="644">
        <v>0</v>
      </c>
      <c r="F135" s="662"/>
      <c r="G135" s="662"/>
      <c r="H135" s="662"/>
      <c r="I135" s="646"/>
      <c r="J135" s="646"/>
      <c r="K135" s="646"/>
      <c r="L135" s="646">
        <f t="shared" si="10"/>
        <v>0</v>
      </c>
      <c r="M135" s="663">
        <f t="shared" si="8"/>
        <v>0</v>
      </c>
      <c r="N135" s="672"/>
      <c r="O135" s="701">
        <f t="shared" si="6"/>
        <v>0</v>
      </c>
      <c r="P135" s="672"/>
      <c r="Q135" s="672"/>
      <c r="R135" s="672"/>
      <c r="S135" s="672"/>
      <c r="T135" s="672"/>
      <c r="XFC135" s="674">
        <f t="shared" si="5"/>
        <v>0</v>
      </c>
      <c r="XFD135" s="678">
        <f t="shared" si="7"/>
        <v>0</v>
      </c>
    </row>
    <row r="136" spans="1:20 16383:16384" s="674" customFormat="1" hidden="1" outlineLevel="1" x14ac:dyDescent="0.2">
      <c r="A136" s="291"/>
      <c r="B136" s="291"/>
      <c r="C136" s="637">
        <v>0</v>
      </c>
      <c r="D136" s="661"/>
      <c r="E136" s="644">
        <v>0</v>
      </c>
      <c r="F136" s="662"/>
      <c r="G136" s="662"/>
      <c r="H136" s="662"/>
      <c r="I136" s="646"/>
      <c r="J136" s="646"/>
      <c r="K136" s="646"/>
      <c r="L136" s="646">
        <f t="shared" si="10"/>
        <v>0</v>
      </c>
      <c r="M136" s="663">
        <f t="shared" si="8"/>
        <v>0</v>
      </c>
      <c r="N136" s="672"/>
      <c r="O136" s="701">
        <f t="shared" si="6"/>
        <v>0</v>
      </c>
      <c r="P136" s="672"/>
      <c r="Q136" s="672"/>
      <c r="R136" s="672"/>
      <c r="S136" s="672"/>
      <c r="T136" s="672"/>
      <c r="XFC136" s="674">
        <f t="shared" si="5"/>
        <v>0</v>
      </c>
      <c r="XFD136" s="678">
        <f t="shared" si="7"/>
        <v>0</v>
      </c>
    </row>
    <row r="137" spans="1:20 16383:16384" s="674" customFormat="1" hidden="1" outlineLevel="1" x14ac:dyDescent="0.2">
      <c r="A137" s="291"/>
      <c r="B137" s="291"/>
      <c r="C137" s="637">
        <v>0</v>
      </c>
      <c r="D137" s="661"/>
      <c r="E137" s="644">
        <v>0</v>
      </c>
      <c r="F137" s="662"/>
      <c r="G137" s="662"/>
      <c r="H137" s="662"/>
      <c r="I137" s="646"/>
      <c r="J137" s="646"/>
      <c r="K137" s="646"/>
      <c r="L137" s="646">
        <f t="shared" si="10"/>
        <v>0</v>
      </c>
      <c r="M137" s="663">
        <f t="shared" si="8"/>
        <v>0</v>
      </c>
      <c r="N137" s="672"/>
      <c r="O137" s="701">
        <f t="shared" si="6"/>
        <v>0</v>
      </c>
      <c r="P137" s="672"/>
      <c r="Q137" s="672"/>
      <c r="R137" s="672"/>
      <c r="S137" s="672"/>
      <c r="T137" s="672"/>
      <c r="XFC137" s="674">
        <f t="shared" si="5"/>
        <v>0</v>
      </c>
      <c r="XFD137" s="678">
        <f t="shared" si="7"/>
        <v>0</v>
      </c>
    </row>
    <row r="138" spans="1:20 16383:16384" s="674" customFormat="1" hidden="1" outlineLevel="1" x14ac:dyDescent="0.2">
      <c r="A138" s="291"/>
      <c r="B138" s="291"/>
      <c r="C138" s="637">
        <v>0</v>
      </c>
      <c r="D138" s="661"/>
      <c r="E138" s="644">
        <v>0</v>
      </c>
      <c r="F138" s="662"/>
      <c r="G138" s="662"/>
      <c r="H138" s="662"/>
      <c r="I138" s="646"/>
      <c r="J138" s="646"/>
      <c r="K138" s="646"/>
      <c r="L138" s="646">
        <f t="shared" si="10"/>
        <v>0</v>
      </c>
      <c r="M138" s="663">
        <f t="shared" si="8"/>
        <v>0</v>
      </c>
      <c r="N138" s="672"/>
      <c r="O138" s="701">
        <f t="shared" si="6"/>
        <v>0</v>
      </c>
      <c r="P138" s="672"/>
      <c r="Q138" s="672"/>
      <c r="R138" s="672"/>
      <c r="S138" s="672"/>
      <c r="T138" s="672"/>
      <c r="XFC138" s="674">
        <f t="shared" si="5"/>
        <v>0</v>
      </c>
      <c r="XFD138" s="678">
        <f t="shared" si="7"/>
        <v>0</v>
      </c>
    </row>
    <row r="139" spans="1:20 16383:16384" s="674" customFormat="1" hidden="1" outlineLevel="1" x14ac:dyDescent="0.2">
      <c r="A139" s="291"/>
      <c r="B139" s="291"/>
      <c r="C139" s="637">
        <v>0</v>
      </c>
      <c r="D139" s="661"/>
      <c r="E139" s="644">
        <v>0</v>
      </c>
      <c r="F139" s="662"/>
      <c r="G139" s="662"/>
      <c r="H139" s="662"/>
      <c r="I139" s="646"/>
      <c r="J139" s="646"/>
      <c r="K139" s="646"/>
      <c r="L139" s="646">
        <f t="shared" si="10"/>
        <v>0</v>
      </c>
      <c r="M139" s="663">
        <f t="shared" si="8"/>
        <v>0</v>
      </c>
      <c r="N139" s="672"/>
      <c r="O139" s="701">
        <f t="shared" si="6"/>
        <v>0</v>
      </c>
      <c r="P139" s="672"/>
      <c r="Q139" s="672"/>
      <c r="R139" s="672"/>
      <c r="S139" s="672"/>
      <c r="T139" s="672"/>
      <c r="XFC139" s="674">
        <f t="shared" si="5"/>
        <v>0</v>
      </c>
      <c r="XFD139" s="678">
        <f t="shared" si="7"/>
        <v>0</v>
      </c>
    </row>
    <row r="140" spans="1:20 16383:16384" s="674" customFormat="1" hidden="1" outlineLevel="1" x14ac:dyDescent="0.2">
      <c r="A140" s="291"/>
      <c r="B140" s="291"/>
      <c r="C140" s="637">
        <v>0</v>
      </c>
      <c r="D140" s="661"/>
      <c r="E140" s="644">
        <v>0</v>
      </c>
      <c r="F140" s="662"/>
      <c r="G140" s="662"/>
      <c r="H140" s="662"/>
      <c r="I140" s="646"/>
      <c r="J140" s="646"/>
      <c r="K140" s="646"/>
      <c r="L140" s="646">
        <f t="shared" si="10"/>
        <v>0</v>
      </c>
      <c r="M140" s="663">
        <f t="shared" si="8"/>
        <v>0</v>
      </c>
      <c r="N140" s="672"/>
      <c r="O140" s="701">
        <f t="shared" si="6"/>
        <v>0</v>
      </c>
      <c r="P140" s="672"/>
      <c r="Q140" s="672"/>
      <c r="R140" s="672"/>
      <c r="S140" s="672"/>
      <c r="T140" s="672"/>
      <c r="XFC140" s="674">
        <f t="shared" si="5"/>
        <v>0</v>
      </c>
      <c r="XFD140" s="678">
        <f t="shared" si="7"/>
        <v>0</v>
      </c>
    </row>
    <row r="141" spans="1:20 16383:16384" s="674" customFormat="1" hidden="1" outlineLevel="1" x14ac:dyDescent="0.2">
      <c r="A141" s="291"/>
      <c r="B141" s="291"/>
      <c r="C141" s="637">
        <v>0</v>
      </c>
      <c r="D141" s="661"/>
      <c r="E141" s="644">
        <v>0</v>
      </c>
      <c r="F141" s="662"/>
      <c r="G141" s="662"/>
      <c r="H141" s="662"/>
      <c r="I141" s="646"/>
      <c r="J141" s="646"/>
      <c r="K141" s="646"/>
      <c r="L141" s="646">
        <f t="shared" si="10"/>
        <v>0</v>
      </c>
      <c r="M141" s="663">
        <f t="shared" si="8"/>
        <v>0</v>
      </c>
      <c r="N141" s="672"/>
      <c r="O141" s="701">
        <f t="shared" si="6"/>
        <v>0</v>
      </c>
      <c r="P141" s="672"/>
      <c r="Q141" s="672"/>
      <c r="R141" s="672"/>
      <c r="S141" s="672"/>
      <c r="T141" s="672"/>
      <c r="XFC141" s="674">
        <f t="shared" si="5"/>
        <v>0</v>
      </c>
      <c r="XFD141" s="678">
        <f t="shared" si="7"/>
        <v>0</v>
      </c>
    </row>
    <row r="142" spans="1:20 16383:16384" s="674" customFormat="1" hidden="1" outlineLevel="1" x14ac:dyDescent="0.2">
      <c r="A142" s="291"/>
      <c r="B142" s="291"/>
      <c r="C142" s="637">
        <v>0</v>
      </c>
      <c r="D142" s="661"/>
      <c r="E142" s="644">
        <v>0</v>
      </c>
      <c r="F142" s="662"/>
      <c r="G142" s="662"/>
      <c r="H142" s="662"/>
      <c r="I142" s="646"/>
      <c r="J142" s="646"/>
      <c r="K142" s="646"/>
      <c r="L142" s="646">
        <f t="shared" si="10"/>
        <v>0</v>
      </c>
      <c r="M142" s="663">
        <f t="shared" si="8"/>
        <v>0</v>
      </c>
      <c r="N142" s="672"/>
      <c r="O142" s="701">
        <f t="shared" si="6"/>
        <v>0</v>
      </c>
      <c r="P142" s="672"/>
      <c r="Q142" s="672"/>
      <c r="R142" s="672"/>
      <c r="S142" s="672"/>
      <c r="T142" s="672"/>
      <c r="XFC142" s="674">
        <f t="shared" si="5"/>
        <v>0</v>
      </c>
      <c r="XFD142" s="678">
        <f t="shared" si="7"/>
        <v>0</v>
      </c>
    </row>
    <row r="143" spans="1:20 16383:16384" s="674" customFormat="1" hidden="1" outlineLevel="1" x14ac:dyDescent="0.2">
      <c r="A143" s="291"/>
      <c r="B143" s="291"/>
      <c r="C143" s="637">
        <v>0</v>
      </c>
      <c r="D143" s="661"/>
      <c r="E143" s="644">
        <v>0</v>
      </c>
      <c r="F143" s="662"/>
      <c r="G143" s="662"/>
      <c r="H143" s="662"/>
      <c r="I143" s="646"/>
      <c r="J143" s="646"/>
      <c r="K143" s="646"/>
      <c r="L143" s="646">
        <f t="shared" si="10"/>
        <v>0</v>
      </c>
      <c r="M143" s="663">
        <f t="shared" si="8"/>
        <v>0</v>
      </c>
      <c r="N143" s="672"/>
      <c r="O143" s="701">
        <f t="shared" si="6"/>
        <v>0</v>
      </c>
      <c r="P143" s="672"/>
      <c r="Q143" s="672"/>
      <c r="R143" s="672"/>
      <c r="S143" s="672"/>
      <c r="T143" s="672"/>
      <c r="XFC143" s="674">
        <f t="shared" si="5"/>
        <v>0</v>
      </c>
      <c r="XFD143" s="678">
        <f t="shared" si="7"/>
        <v>0</v>
      </c>
    </row>
    <row r="144" spans="1:20 16383:16384" s="674" customFormat="1" hidden="1" outlineLevel="1" x14ac:dyDescent="0.2">
      <c r="A144" s="291"/>
      <c r="B144" s="291"/>
      <c r="C144" s="637">
        <v>0</v>
      </c>
      <c r="D144" s="661"/>
      <c r="E144" s="644">
        <v>0</v>
      </c>
      <c r="F144" s="662"/>
      <c r="G144" s="662"/>
      <c r="H144" s="662"/>
      <c r="I144" s="646"/>
      <c r="J144" s="646"/>
      <c r="K144" s="646"/>
      <c r="L144" s="646">
        <f t="shared" si="10"/>
        <v>0</v>
      </c>
      <c r="M144" s="663">
        <f t="shared" si="8"/>
        <v>0</v>
      </c>
      <c r="N144" s="672"/>
      <c r="O144" s="701">
        <f t="shared" si="6"/>
        <v>0</v>
      </c>
      <c r="P144" s="672"/>
      <c r="Q144" s="672"/>
      <c r="R144" s="672"/>
      <c r="S144" s="672"/>
      <c r="T144" s="672"/>
      <c r="XFC144" s="674">
        <f t="shared" si="5"/>
        <v>0</v>
      </c>
      <c r="XFD144" s="678">
        <f t="shared" si="7"/>
        <v>0</v>
      </c>
    </row>
    <row r="145" spans="1:20 16383:16384" s="674" customFormat="1" hidden="1" outlineLevel="1" x14ac:dyDescent="0.2">
      <c r="A145" s="291"/>
      <c r="B145" s="291"/>
      <c r="C145" s="637">
        <v>0</v>
      </c>
      <c r="D145" s="661"/>
      <c r="E145" s="644">
        <v>0</v>
      </c>
      <c r="F145" s="662"/>
      <c r="G145" s="662"/>
      <c r="H145" s="662"/>
      <c r="I145" s="646"/>
      <c r="J145" s="646"/>
      <c r="K145" s="646"/>
      <c r="L145" s="646">
        <f t="shared" si="10"/>
        <v>0</v>
      </c>
      <c r="M145" s="663">
        <f t="shared" si="8"/>
        <v>0</v>
      </c>
      <c r="N145" s="672"/>
      <c r="O145" s="701">
        <f t="shared" si="6"/>
        <v>0</v>
      </c>
      <c r="P145" s="672"/>
      <c r="Q145" s="672"/>
      <c r="R145" s="672"/>
      <c r="S145" s="672"/>
      <c r="T145" s="672"/>
      <c r="XFC145" s="674">
        <f t="shared" si="5"/>
        <v>0</v>
      </c>
      <c r="XFD145" s="678">
        <f t="shared" si="7"/>
        <v>0</v>
      </c>
    </row>
    <row r="146" spans="1:20 16383:16384" s="674" customFormat="1" hidden="1" outlineLevel="1" x14ac:dyDescent="0.2">
      <c r="A146" s="291"/>
      <c r="B146" s="291"/>
      <c r="C146" s="637">
        <v>0</v>
      </c>
      <c r="D146" s="661"/>
      <c r="E146" s="644">
        <v>0</v>
      </c>
      <c r="F146" s="662"/>
      <c r="G146" s="662"/>
      <c r="H146" s="662"/>
      <c r="I146" s="646"/>
      <c r="J146" s="646"/>
      <c r="K146" s="646"/>
      <c r="L146" s="646">
        <f t="shared" si="10"/>
        <v>0</v>
      </c>
      <c r="M146" s="663">
        <f t="shared" si="8"/>
        <v>0</v>
      </c>
      <c r="N146" s="672"/>
      <c r="O146" s="701">
        <f t="shared" si="6"/>
        <v>0</v>
      </c>
      <c r="P146" s="672"/>
      <c r="Q146" s="672"/>
      <c r="R146" s="672"/>
      <c r="S146" s="672"/>
      <c r="T146" s="672"/>
      <c r="XFC146" s="674">
        <f t="shared" si="5"/>
        <v>0</v>
      </c>
      <c r="XFD146" s="678">
        <f t="shared" si="7"/>
        <v>0</v>
      </c>
    </row>
    <row r="147" spans="1:20 16383:16384" s="674" customFormat="1" hidden="1" outlineLevel="1" x14ac:dyDescent="0.2">
      <c r="A147" s="291"/>
      <c r="B147" s="291"/>
      <c r="C147" s="637">
        <v>0</v>
      </c>
      <c r="D147" s="661"/>
      <c r="E147" s="644">
        <v>0</v>
      </c>
      <c r="F147" s="662"/>
      <c r="G147" s="662"/>
      <c r="H147" s="662"/>
      <c r="I147" s="646"/>
      <c r="J147" s="646"/>
      <c r="K147" s="646"/>
      <c r="L147" s="646">
        <f t="shared" si="10"/>
        <v>0</v>
      </c>
      <c r="M147" s="663">
        <f t="shared" si="8"/>
        <v>0</v>
      </c>
      <c r="N147" s="672"/>
      <c r="O147" s="701">
        <f t="shared" si="6"/>
        <v>0</v>
      </c>
      <c r="P147" s="672"/>
      <c r="Q147" s="672"/>
      <c r="R147" s="672"/>
      <c r="S147" s="672"/>
      <c r="T147" s="672"/>
      <c r="XFC147" s="674">
        <f t="shared" ref="XFC147:XFC210" si="11">IF(AND(K147&gt;0,L147=""),1,0)</f>
        <v>0</v>
      </c>
      <c r="XFD147" s="678">
        <f t="shared" si="7"/>
        <v>0</v>
      </c>
    </row>
    <row r="148" spans="1:20 16383:16384" s="674" customFormat="1" hidden="1" outlineLevel="1" x14ac:dyDescent="0.2">
      <c r="A148" s="291"/>
      <c r="B148" s="291"/>
      <c r="C148" s="637">
        <v>0</v>
      </c>
      <c r="D148" s="661"/>
      <c r="E148" s="644">
        <v>0</v>
      </c>
      <c r="F148" s="662"/>
      <c r="G148" s="662"/>
      <c r="H148" s="662"/>
      <c r="I148" s="646"/>
      <c r="J148" s="646"/>
      <c r="K148" s="646"/>
      <c r="L148" s="646">
        <f t="shared" si="10"/>
        <v>0</v>
      </c>
      <c r="M148" s="663">
        <f t="shared" si="8"/>
        <v>0</v>
      </c>
      <c r="N148" s="672"/>
      <c r="O148" s="701">
        <f t="shared" ref="O148:O211" si="12">IFERROR((+K148/I148),0)</f>
        <v>0</v>
      </c>
      <c r="P148" s="672"/>
      <c r="Q148" s="672"/>
      <c r="R148" s="672"/>
      <c r="S148" s="672"/>
      <c r="T148" s="672"/>
      <c r="XFC148" s="674">
        <f t="shared" si="11"/>
        <v>0</v>
      </c>
      <c r="XFD148" s="678">
        <f t="shared" ref="XFD148:XFD211" si="13">+K148</f>
        <v>0</v>
      </c>
    </row>
    <row r="149" spans="1:20 16383:16384" s="674" customFormat="1" hidden="1" outlineLevel="1" x14ac:dyDescent="0.2">
      <c r="A149" s="291"/>
      <c r="B149" s="291"/>
      <c r="C149" s="637">
        <v>0</v>
      </c>
      <c r="D149" s="661"/>
      <c r="E149" s="644">
        <v>0</v>
      </c>
      <c r="F149" s="662"/>
      <c r="G149" s="662"/>
      <c r="H149" s="662"/>
      <c r="I149" s="646"/>
      <c r="J149" s="646"/>
      <c r="K149" s="646"/>
      <c r="L149" s="646">
        <f t="shared" si="10"/>
        <v>0</v>
      </c>
      <c r="M149" s="663">
        <f t="shared" si="8"/>
        <v>0</v>
      </c>
      <c r="N149" s="672"/>
      <c r="O149" s="701">
        <f t="shared" si="12"/>
        <v>0</v>
      </c>
      <c r="P149" s="672"/>
      <c r="Q149" s="672"/>
      <c r="R149" s="672"/>
      <c r="S149" s="672"/>
      <c r="T149" s="672"/>
      <c r="XFC149" s="674">
        <f t="shared" si="11"/>
        <v>0</v>
      </c>
      <c r="XFD149" s="678">
        <f t="shared" si="13"/>
        <v>0</v>
      </c>
    </row>
    <row r="150" spans="1:20 16383:16384" s="674" customFormat="1" hidden="1" outlineLevel="1" x14ac:dyDescent="0.2">
      <c r="A150" s="291"/>
      <c r="B150" s="291"/>
      <c r="C150" s="637">
        <v>0</v>
      </c>
      <c r="D150" s="661"/>
      <c r="E150" s="644">
        <v>0</v>
      </c>
      <c r="F150" s="662"/>
      <c r="G150" s="662"/>
      <c r="H150" s="662"/>
      <c r="I150" s="646"/>
      <c r="J150" s="646"/>
      <c r="K150" s="646"/>
      <c r="L150" s="646">
        <f t="shared" si="10"/>
        <v>0</v>
      </c>
      <c r="M150" s="663">
        <f t="shared" si="8"/>
        <v>0</v>
      </c>
      <c r="N150" s="672"/>
      <c r="O150" s="701">
        <f t="shared" si="12"/>
        <v>0</v>
      </c>
      <c r="P150" s="672"/>
      <c r="Q150" s="672"/>
      <c r="R150" s="672"/>
      <c r="S150" s="672"/>
      <c r="T150" s="672"/>
      <c r="XFC150" s="674">
        <f t="shared" si="11"/>
        <v>0</v>
      </c>
      <c r="XFD150" s="678">
        <f t="shared" si="13"/>
        <v>0</v>
      </c>
    </row>
    <row r="151" spans="1:20 16383:16384" s="674" customFormat="1" hidden="1" outlineLevel="1" x14ac:dyDescent="0.2">
      <c r="A151" s="291"/>
      <c r="B151" s="291"/>
      <c r="C151" s="637">
        <v>0</v>
      </c>
      <c r="D151" s="661"/>
      <c r="E151" s="644">
        <v>0</v>
      </c>
      <c r="F151" s="662"/>
      <c r="G151" s="662"/>
      <c r="H151" s="662"/>
      <c r="I151" s="646"/>
      <c r="J151" s="646"/>
      <c r="K151" s="646"/>
      <c r="L151" s="646">
        <f t="shared" si="10"/>
        <v>0</v>
      </c>
      <c r="M151" s="663">
        <f t="shared" si="8"/>
        <v>0</v>
      </c>
      <c r="N151" s="672"/>
      <c r="O151" s="701">
        <f t="shared" si="12"/>
        <v>0</v>
      </c>
      <c r="P151" s="672"/>
      <c r="Q151" s="672"/>
      <c r="R151" s="672"/>
      <c r="S151" s="672"/>
      <c r="T151" s="672"/>
      <c r="XFC151" s="674">
        <f t="shared" si="11"/>
        <v>0</v>
      </c>
      <c r="XFD151" s="678">
        <f t="shared" si="13"/>
        <v>0</v>
      </c>
    </row>
    <row r="152" spans="1:20 16383:16384" s="674" customFormat="1" hidden="1" outlineLevel="1" x14ac:dyDescent="0.2">
      <c r="A152" s="291"/>
      <c r="B152" s="291"/>
      <c r="C152" s="637">
        <v>0</v>
      </c>
      <c r="D152" s="661"/>
      <c r="E152" s="644">
        <v>0</v>
      </c>
      <c r="F152" s="662"/>
      <c r="G152" s="662"/>
      <c r="H152" s="662"/>
      <c r="I152" s="646"/>
      <c r="J152" s="646"/>
      <c r="K152" s="646"/>
      <c r="L152" s="646">
        <f t="shared" si="10"/>
        <v>0</v>
      </c>
      <c r="M152" s="663">
        <f t="shared" si="8"/>
        <v>0</v>
      </c>
      <c r="N152" s="672"/>
      <c r="O152" s="701">
        <f t="shared" si="12"/>
        <v>0</v>
      </c>
      <c r="P152" s="672"/>
      <c r="Q152" s="672"/>
      <c r="R152" s="672"/>
      <c r="S152" s="672"/>
      <c r="T152" s="672"/>
      <c r="XFC152" s="674">
        <f t="shared" si="11"/>
        <v>0</v>
      </c>
      <c r="XFD152" s="678">
        <f t="shared" si="13"/>
        <v>0</v>
      </c>
    </row>
    <row r="153" spans="1:20 16383:16384" s="674" customFormat="1" hidden="1" outlineLevel="1" x14ac:dyDescent="0.2">
      <c r="A153" s="291"/>
      <c r="B153" s="291"/>
      <c r="C153" s="637">
        <v>0</v>
      </c>
      <c r="D153" s="661"/>
      <c r="E153" s="644">
        <v>0</v>
      </c>
      <c r="F153" s="662"/>
      <c r="G153" s="662"/>
      <c r="H153" s="662"/>
      <c r="I153" s="646"/>
      <c r="J153" s="646"/>
      <c r="K153" s="646"/>
      <c r="L153" s="646">
        <f t="shared" si="10"/>
        <v>0</v>
      </c>
      <c r="M153" s="663">
        <f t="shared" si="8"/>
        <v>0</v>
      </c>
      <c r="N153" s="672"/>
      <c r="O153" s="701">
        <f t="shared" si="12"/>
        <v>0</v>
      </c>
      <c r="P153" s="672"/>
      <c r="Q153" s="672"/>
      <c r="R153" s="672"/>
      <c r="S153" s="672"/>
      <c r="T153" s="672"/>
      <c r="XFC153" s="674">
        <f t="shared" si="11"/>
        <v>0</v>
      </c>
      <c r="XFD153" s="678">
        <f t="shared" si="13"/>
        <v>0</v>
      </c>
    </row>
    <row r="154" spans="1:20 16383:16384" s="674" customFormat="1" hidden="1" outlineLevel="1" x14ac:dyDescent="0.2">
      <c r="A154" s="291"/>
      <c r="B154" s="291"/>
      <c r="C154" s="637">
        <v>0</v>
      </c>
      <c r="D154" s="661"/>
      <c r="E154" s="644">
        <v>0</v>
      </c>
      <c r="F154" s="662"/>
      <c r="G154" s="662"/>
      <c r="H154" s="662"/>
      <c r="I154" s="646"/>
      <c r="J154" s="646"/>
      <c r="K154" s="646"/>
      <c r="L154" s="646">
        <f t="shared" si="10"/>
        <v>0</v>
      </c>
      <c r="M154" s="663">
        <f t="shared" si="8"/>
        <v>0</v>
      </c>
      <c r="N154" s="672"/>
      <c r="O154" s="701">
        <f t="shared" si="12"/>
        <v>0</v>
      </c>
      <c r="P154" s="672"/>
      <c r="Q154" s="672"/>
      <c r="R154" s="672"/>
      <c r="S154" s="672"/>
      <c r="T154" s="672"/>
      <c r="XFC154" s="674">
        <f t="shared" si="11"/>
        <v>0</v>
      </c>
      <c r="XFD154" s="678">
        <f t="shared" si="13"/>
        <v>0</v>
      </c>
    </row>
    <row r="155" spans="1:20 16383:16384" s="674" customFormat="1" hidden="1" outlineLevel="1" x14ac:dyDescent="0.2">
      <c r="A155" s="291"/>
      <c r="B155" s="291"/>
      <c r="C155" s="637">
        <v>0</v>
      </c>
      <c r="D155" s="661"/>
      <c r="E155" s="644">
        <v>0</v>
      </c>
      <c r="F155" s="662"/>
      <c r="G155" s="662"/>
      <c r="H155" s="662"/>
      <c r="I155" s="646"/>
      <c r="J155" s="646"/>
      <c r="K155" s="646"/>
      <c r="L155" s="646">
        <f t="shared" si="10"/>
        <v>0</v>
      </c>
      <c r="M155" s="663">
        <f t="shared" si="8"/>
        <v>0</v>
      </c>
      <c r="N155" s="672"/>
      <c r="O155" s="701">
        <f t="shared" si="12"/>
        <v>0</v>
      </c>
      <c r="P155" s="672"/>
      <c r="Q155" s="672"/>
      <c r="R155" s="672"/>
      <c r="S155" s="672"/>
      <c r="T155" s="672"/>
      <c r="XFC155" s="674">
        <f t="shared" si="11"/>
        <v>0</v>
      </c>
      <c r="XFD155" s="678">
        <f t="shared" si="13"/>
        <v>0</v>
      </c>
    </row>
    <row r="156" spans="1:20 16383:16384" s="674" customFormat="1" hidden="1" outlineLevel="1" x14ac:dyDescent="0.2">
      <c r="A156" s="291"/>
      <c r="B156" s="291"/>
      <c r="C156" s="637">
        <v>0</v>
      </c>
      <c r="D156" s="661"/>
      <c r="E156" s="644">
        <v>0</v>
      </c>
      <c r="F156" s="662"/>
      <c r="G156" s="662"/>
      <c r="H156" s="662"/>
      <c r="I156" s="646"/>
      <c r="J156" s="646"/>
      <c r="K156" s="646"/>
      <c r="L156" s="646">
        <f t="shared" si="10"/>
        <v>0</v>
      </c>
      <c r="M156" s="663">
        <f t="shared" si="8"/>
        <v>0</v>
      </c>
      <c r="N156" s="672"/>
      <c r="O156" s="701">
        <f t="shared" si="12"/>
        <v>0</v>
      </c>
      <c r="P156" s="672"/>
      <c r="Q156" s="672"/>
      <c r="R156" s="672"/>
      <c r="S156" s="672"/>
      <c r="T156" s="672"/>
      <c r="XFC156" s="674">
        <f t="shared" si="11"/>
        <v>0</v>
      </c>
      <c r="XFD156" s="678">
        <f t="shared" si="13"/>
        <v>0</v>
      </c>
    </row>
    <row r="157" spans="1:20 16383:16384" s="674" customFormat="1" hidden="1" outlineLevel="1" x14ac:dyDescent="0.2">
      <c r="A157" s="291"/>
      <c r="B157" s="291"/>
      <c r="C157" s="637">
        <v>0</v>
      </c>
      <c r="D157" s="661"/>
      <c r="E157" s="644">
        <v>0</v>
      </c>
      <c r="F157" s="662"/>
      <c r="G157" s="662"/>
      <c r="H157" s="662"/>
      <c r="I157" s="646"/>
      <c r="J157" s="646"/>
      <c r="K157" s="646"/>
      <c r="L157" s="646">
        <f t="shared" si="10"/>
        <v>0</v>
      </c>
      <c r="M157" s="663">
        <f t="shared" si="8"/>
        <v>0</v>
      </c>
      <c r="N157" s="672"/>
      <c r="O157" s="701">
        <f t="shared" si="12"/>
        <v>0</v>
      </c>
      <c r="P157" s="672"/>
      <c r="Q157" s="672"/>
      <c r="R157" s="672"/>
      <c r="S157" s="672"/>
      <c r="T157" s="672"/>
      <c r="XFC157" s="674">
        <f t="shared" si="11"/>
        <v>0</v>
      </c>
      <c r="XFD157" s="678">
        <f t="shared" si="13"/>
        <v>0</v>
      </c>
    </row>
    <row r="158" spans="1:20 16383:16384" s="674" customFormat="1" hidden="1" outlineLevel="1" x14ac:dyDescent="0.2">
      <c r="A158" s="291"/>
      <c r="B158" s="291"/>
      <c r="C158" s="637">
        <v>0</v>
      </c>
      <c r="D158" s="661"/>
      <c r="E158" s="644">
        <v>0</v>
      </c>
      <c r="F158" s="662"/>
      <c r="G158" s="662"/>
      <c r="H158" s="662"/>
      <c r="I158" s="646"/>
      <c r="J158" s="646"/>
      <c r="K158" s="646"/>
      <c r="L158" s="646">
        <f t="shared" si="10"/>
        <v>0</v>
      </c>
      <c r="M158" s="663">
        <f t="shared" si="8"/>
        <v>0</v>
      </c>
      <c r="N158" s="672"/>
      <c r="O158" s="701">
        <f t="shared" si="12"/>
        <v>0</v>
      </c>
      <c r="P158" s="672"/>
      <c r="Q158" s="672"/>
      <c r="R158" s="672"/>
      <c r="S158" s="672"/>
      <c r="T158" s="672"/>
      <c r="XFC158" s="674">
        <f t="shared" si="11"/>
        <v>0</v>
      </c>
      <c r="XFD158" s="678">
        <f t="shared" si="13"/>
        <v>0</v>
      </c>
    </row>
    <row r="159" spans="1:20 16383:16384" s="674" customFormat="1" hidden="1" outlineLevel="1" x14ac:dyDescent="0.2">
      <c r="A159" s="291"/>
      <c r="B159" s="291"/>
      <c r="C159" s="637">
        <v>0</v>
      </c>
      <c r="D159" s="661"/>
      <c r="E159" s="644">
        <v>0</v>
      </c>
      <c r="F159" s="662"/>
      <c r="G159" s="662"/>
      <c r="H159" s="662"/>
      <c r="I159" s="646"/>
      <c r="J159" s="646"/>
      <c r="K159" s="646"/>
      <c r="L159" s="646">
        <f t="shared" si="10"/>
        <v>0</v>
      </c>
      <c r="M159" s="663">
        <f t="shared" si="8"/>
        <v>0</v>
      </c>
      <c r="N159" s="672"/>
      <c r="O159" s="701">
        <f t="shared" si="12"/>
        <v>0</v>
      </c>
      <c r="P159" s="672"/>
      <c r="Q159" s="672"/>
      <c r="R159" s="672"/>
      <c r="S159" s="672"/>
      <c r="T159" s="672"/>
      <c r="XFC159" s="674">
        <f t="shared" si="11"/>
        <v>0</v>
      </c>
      <c r="XFD159" s="678">
        <f t="shared" si="13"/>
        <v>0</v>
      </c>
    </row>
    <row r="160" spans="1:20 16383:16384" s="674" customFormat="1" hidden="1" outlineLevel="1" x14ac:dyDescent="0.2">
      <c r="A160" s="291"/>
      <c r="B160" s="291"/>
      <c r="C160" s="637">
        <v>0</v>
      </c>
      <c r="D160" s="661"/>
      <c r="E160" s="644">
        <v>0</v>
      </c>
      <c r="F160" s="662"/>
      <c r="G160" s="662"/>
      <c r="H160" s="662"/>
      <c r="I160" s="646"/>
      <c r="J160" s="646"/>
      <c r="K160" s="646"/>
      <c r="L160" s="646">
        <f t="shared" si="10"/>
        <v>0</v>
      </c>
      <c r="M160" s="663">
        <f t="shared" si="8"/>
        <v>0</v>
      </c>
      <c r="N160" s="672"/>
      <c r="O160" s="701">
        <f t="shared" si="12"/>
        <v>0</v>
      </c>
      <c r="P160" s="672"/>
      <c r="Q160" s="672"/>
      <c r="R160" s="672"/>
      <c r="S160" s="672"/>
      <c r="T160" s="672"/>
      <c r="XFC160" s="674">
        <f t="shared" si="11"/>
        <v>0</v>
      </c>
      <c r="XFD160" s="678">
        <f t="shared" si="13"/>
        <v>0</v>
      </c>
    </row>
    <row r="161" spans="1:20 16383:16384" s="674" customFormat="1" hidden="1" outlineLevel="1" x14ac:dyDescent="0.2">
      <c r="A161" s="291"/>
      <c r="B161" s="291"/>
      <c r="C161" s="637">
        <v>0</v>
      </c>
      <c r="D161" s="661"/>
      <c r="E161" s="644">
        <v>0</v>
      </c>
      <c r="F161" s="662"/>
      <c r="G161" s="662"/>
      <c r="H161" s="662"/>
      <c r="I161" s="646"/>
      <c r="J161" s="646"/>
      <c r="K161" s="646"/>
      <c r="L161" s="646">
        <f t="shared" si="10"/>
        <v>0</v>
      </c>
      <c r="M161" s="663">
        <f t="shared" si="8"/>
        <v>0</v>
      </c>
      <c r="N161" s="672"/>
      <c r="O161" s="701">
        <f t="shared" si="12"/>
        <v>0</v>
      </c>
      <c r="P161" s="672"/>
      <c r="Q161" s="672"/>
      <c r="R161" s="672"/>
      <c r="S161" s="672"/>
      <c r="T161" s="672"/>
      <c r="XFC161" s="674">
        <f t="shared" si="11"/>
        <v>0</v>
      </c>
      <c r="XFD161" s="678">
        <f t="shared" si="13"/>
        <v>0</v>
      </c>
    </row>
    <row r="162" spans="1:20 16383:16384" s="674" customFormat="1" hidden="1" outlineLevel="1" x14ac:dyDescent="0.2">
      <c r="A162" s="291"/>
      <c r="B162" s="291"/>
      <c r="C162" s="637">
        <v>0</v>
      </c>
      <c r="D162" s="661"/>
      <c r="E162" s="644">
        <v>0</v>
      </c>
      <c r="F162" s="662"/>
      <c r="G162" s="662"/>
      <c r="H162" s="662"/>
      <c r="I162" s="646"/>
      <c r="J162" s="646"/>
      <c r="K162" s="646"/>
      <c r="L162" s="646">
        <f t="shared" si="10"/>
        <v>0</v>
      </c>
      <c r="M162" s="663">
        <f t="shared" si="8"/>
        <v>0</v>
      </c>
      <c r="N162" s="672"/>
      <c r="O162" s="701">
        <f t="shared" si="12"/>
        <v>0</v>
      </c>
      <c r="P162" s="672"/>
      <c r="Q162" s="672"/>
      <c r="R162" s="672"/>
      <c r="S162" s="672"/>
      <c r="T162" s="672"/>
      <c r="XFC162" s="674">
        <f t="shared" si="11"/>
        <v>0</v>
      </c>
      <c r="XFD162" s="678">
        <f t="shared" si="13"/>
        <v>0</v>
      </c>
    </row>
    <row r="163" spans="1:20 16383:16384" s="674" customFormat="1" hidden="1" outlineLevel="1" x14ac:dyDescent="0.2">
      <c r="A163" s="291"/>
      <c r="B163" s="291"/>
      <c r="C163" s="637">
        <v>0</v>
      </c>
      <c r="D163" s="661"/>
      <c r="E163" s="644">
        <v>0</v>
      </c>
      <c r="F163" s="662"/>
      <c r="G163" s="662"/>
      <c r="H163" s="662"/>
      <c r="I163" s="646"/>
      <c r="J163" s="646"/>
      <c r="K163" s="646"/>
      <c r="L163" s="646">
        <f t="shared" si="10"/>
        <v>0</v>
      </c>
      <c r="M163" s="663">
        <f t="shared" si="8"/>
        <v>0</v>
      </c>
      <c r="N163" s="672"/>
      <c r="O163" s="701">
        <f t="shared" si="12"/>
        <v>0</v>
      </c>
      <c r="P163" s="672"/>
      <c r="Q163" s="672"/>
      <c r="R163" s="672"/>
      <c r="S163" s="672"/>
      <c r="T163" s="672"/>
      <c r="XFC163" s="674">
        <f t="shared" si="11"/>
        <v>0</v>
      </c>
      <c r="XFD163" s="678">
        <f t="shared" si="13"/>
        <v>0</v>
      </c>
    </row>
    <row r="164" spans="1:20 16383:16384" s="674" customFormat="1" hidden="1" outlineLevel="1" x14ac:dyDescent="0.2">
      <c r="A164" s="291"/>
      <c r="B164" s="291"/>
      <c r="C164" s="637">
        <v>0</v>
      </c>
      <c r="D164" s="661"/>
      <c r="E164" s="644">
        <v>0</v>
      </c>
      <c r="F164" s="662"/>
      <c r="G164" s="662"/>
      <c r="H164" s="662"/>
      <c r="I164" s="646"/>
      <c r="J164" s="646"/>
      <c r="K164" s="646"/>
      <c r="L164" s="646">
        <f t="shared" si="10"/>
        <v>0</v>
      </c>
      <c r="M164" s="663">
        <f t="shared" si="8"/>
        <v>0</v>
      </c>
      <c r="N164" s="672"/>
      <c r="O164" s="701">
        <f t="shared" si="12"/>
        <v>0</v>
      </c>
      <c r="P164" s="672"/>
      <c r="Q164" s="672"/>
      <c r="R164" s="672"/>
      <c r="S164" s="672"/>
      <c r="T164" s="672"/>
      <c r="XFC164" s="674">
        <f t="shared" si="11"/>
        <v>0</v>
      </c>
      <c r="XFD164" s="678">
        <f t="shared" si="13"/>
        <v>0</v>
      </c>
    </row>
    <row r="165" spans="1:20 16383:16384" s="674" customFormat="1" hidden="1" outlineLevel="1" x14ac:dyDescent="0.2">
      <c r="A165" s="291"/>
      <c r="B165" s="291"/>
      <c r="C165" s="637">
        <v>0</v>
      </c>
      <c r="D165" s="661"/>
      <c r="E165" s="644">
        <v>0</v>
      </c>
      <c r="F165" s="662"/>
      <c r="G165" s="662"/>
      <c r="H165" s="662"/>
      <c r="I165" s="646"/>
      <c r="J165" s="646"/>
      <c r="K165" s="646"/>
      <c r="L165" s="646">
        <f t="shared" si="10"/>
        <v>0</v>
      </c>
      <c r="M165" s="663">
        <f t="shared" si="8"/>
        <v>0</v>
      </c>
      <c r="N165" s="672"/>
      <c r="O165" s="701">
        <f t="shared" si="12"/>
        <v>0</v>
      </c>
      <c r="P165" s="672"/>
      <c r="Q165" s="672"/>
      <c r="R165" s="672"/>
      <c r="S165" s="672"/>
      <c r="T165" s="672"/>
      <c r="XFC165" s="674">
        <f t="shared" si="11"/>
        <v>0</v>
      </c>
      <c r="XFD165" s="678">
        <f t="shared" si="13"/>
        <v>0</v>
      </c>
    </row>
    <row r="166" spans="1:20 16383:16384" s="674" customFormat="1" hidden="1" outlineLevel="1" x14ac:dyDescent="0.2">
      <c r="A166" s="291"/>
      <c r="B166" s="291"/>
      <c r="C166" s="637">
        <v>0</v>
      </c>
      <c r="D166" s="661"/>
      <c r="E166" s="644">
        <v>0</v>
      </c>
      <c r="F166" s="662"/>
      <c r="G166" s="662"/>
      <c r="H166" s="662"/>
      <c r="I166" s="646"/>
      <c r="J166" s="646"/>
      <c r="K166" s="646"/>
      <c r="L166" s="646">
        <f t="shared" si="10"/>
        <v>0</v>
      </c>
      <c r="M166" s="663">
        <f t="shared" si="8"/>
        <v>0</v>
      </c>
      <c r="N166" s="672"/>
      <c r="O166" s="701">
        <f t="shared" si="12"/>
        <v>0</v>
      </c>
      <c r="P166" s="672"/>
      <c r="Q166" s="672"/>
      <c r="R166" s="672"/>
      <c r="S166" s="672"/>
      <c r="T166" s="672"/>
      <c r="XFC166" s="674">
        <f t="shared" si="11"/>
        <v>0</v>
      </c>
      <c r="XFD166" s="678">
        <f t="shared" si="13"/>
        <v>0</v>
      </c>
    </row>
    <row r="167" spans="1:20 16383:16384" s="674" customFormat="1" hidden="1" outlineLevel="1" x14ac:dyDescent="0.2">
      <c r="A167" s="291"/>
      <c r="B167" s="291"/>
      <c r="C167" s="637">
        <v>0</v>
      </c>
      <c r="D167" s="661"/>
      <c r="E167" s="644">
        <v>0</v>
      </c>
      <c r="F167" s="662"/>
      <c r="G167" s="662"/>
      <c r="H167" s="662"/>
      <c r="I167" s="646"/>
      <c r="J167" s="646"/>
      <c r="K167" s="646"/>
      <c r="L167" s="646">
        <f t="shared" si="10"/>
        <v>0</v>
      </c>
      <c r="M167" s="663">
        <f t="shared" si="8"/>
        <v>0</v>
      </c>
      <c r="N167" s="672"/>
      <c r="O167" s="701">
        <f t="shared" si="12"/>
        <v>0</v>
      </c>
      <c r="P167" s="672"/>
      <c r="Q167" s="672"/>
      <c r="R167" s="672"/>
      <c r="S167" s="672"/>
      <c r="T167" s="672"/>
      <c r="XFC167" s="674">
        <f t="shared" si="11"/>
        <v>0</v>
      </c>
      <c r="XFD167" s="678">
        <f t="shared" si="13"/>
        <v>0</v>
      </c>
    </row>
    <row r="168" spans="1:20 16383:16384" s="674" customFormat="1" hidden="1" outlineLevel="1" x14ac:dyDescent="0.2">
      <c r="A168" s="291"/>
      <c r="B168" s="291"/>
      <c r="C168" s="637">
        <v>0</v>
      </c>
      <c r="D168" s="661"/>
      <c r="E168" s="644">
        <v>0</v>
      </c>
      <c r="F168" s="662"/>
      <c r="G168" s="662"/>
      <c r="H168" s="662"/>
      <c r="I168" s="646"/>
      <c r="J168" s="646"/>
      <c r="K168" s="646"/>
      <c r="L168" s="646">
        <f t="shared" si="10"/>
        <v>0</v>
      </c>
      <c r="M168" s="663">
        <f t="shared" si="8"/>
        <v>0</v>
      </c>
      <c r="N168" s="672"/>
      <c r="O168" s="701">
        <f t="shared" si="12"/>
        <v>0</v>
      </c>
      <c r="P168" s="672"/>
      <c r="Q168" s="672"/>
      <c r="R168" s="672"/>
      <c r="S168" s="672"/>
      <c r="T168" s="672"/>
      <c r="XFC168" s="674">
        <f t="shared" si="11"/>
        <v>0</v>
      </c>
      <c r="XFD168" s="678">
        <f t="shared" si="13"/>
        <v>0</v>
      </c>
    </row>
    <row r="169" spans="1:20 16383:16384" s="674" customFormat="1" hidden="1" outlineLevel="1" x14ac:dyDescent="0.2">
      <c r="A169" s="291"/>
      <c r="B169" s="291"/>
      <c r="C169" s="637">
        <v>0</v>
      </c>
      <c r="D169" s="661"/>
      <c r="E169" s="644">
        <v>0</v>
      </c>
      <c r="F169" s="662"/>
      <c r="G169" s="662"/>
      <c r="H169" s="662"/>
      <c r="I169" s="646"/>
      <c r="J169" s="646"/>
      <c r="K169" s="646"/>
      <c r="L169" s="646">
        <f t="shared" ref="L169:L232" si="14">IF(L168="","",L168)</f>
        <v>0</v>
      </c>
      <c r="M169" s="663">
        <f t="shared" si="8"/>
        <v>0</v>
      </c>
      <c r="N169" s="672"/>
      <c r="O169" s="701">
        <f t="shared" si="12"/>
        <v>0</v>
      </c>
      <c r="P169" s="672"/>
      <c r="Q169" s="672"/>
      <c r="R169" s="672"/>
      <c r="S169" s="672"/>
      <c r="T169" s="672"/>
      <c r="XFC169" s="674">
        <f t="shared" si="11"/>
        <v>0</v>
      </c>
      <c r="XFD169" s="678">
        <f t="shared" si="13"/>
        <v>0</v>
      </c>
    </row>
    <row r="170" spans="1:20 16383:16384" s="674" customFormat="1" hidden="1" outlineLevel="1" x14ac:dyDescent="0.2">
      <c r="A170" s="291"/>
      <c r="B170" s="291"/>
      <c r="C170" s="637">
        <v>0</v>
      </c>
      <c r="D170" s="661"/>
      <c r="E170" s="644">
        <v>0</v>
      </c>
      <c r="F170" s="662"/>
      <c r="G170" s="662"/>
      <c r="H170" s="662"/>
      <c r="I170" s="646"/>
      <c r="J170" s="646"/>
      <c r="K170" s="646"/>
      <c r="L170" s="646">
        <f t="shared" si="14"/>
        <v>0</v>
      </c>
      <c r="M170" s="663">
        <f t="shared" si="8"/>
        <v>0</v>
      </c>
      <c r="N170" s="672"/>
      <c r="O170" s="701">
        <f t="shared" si="12"/>
        <v>0</v>
      </c>
      <c r="P170" s="672"/>
      <c r="Q170" s="672"/>
      <c r="R170" s="672"/>
      <c r="S170" s="672"/>
      <c r="T170" s="672"/>
      <c r="XFC170" s="674">
        <f t="shared" si="11"/>
        <v>0</v>
      </c>
      <c r="XFD170" s="678">
        <f t="shared" si="13"/>
        <v>0</v>
      </c>
    </row>
    <row r="171" spans="1:20 16383:16384" s="674" customFormat="1" hidden="1" outlineLevel="1" x14ac:dyDescent="0.2">
      <c r="A171" s="291"/>
      <c r="B171" s="291"/>
      <c r="C171" s="637">
        <v>0</v>
      </c>
      <c r="D171" s="661"/>
      <c r="E171" s="644">
        <v>0</v>
      </c>
      <c r="F171" s="662"/>
      <c r="G171" s="662"/>
      <c r="H171" s="662"/>
      <c r="I171" s="646"/>
      <c r="J171" s="646"/>
      <c r="K171" s="646"/>
      <c r="L171" s="646">
        <f t="shared" si="14"/>
        <v>0</v>
      </c>
      <c r="M171" s="663">
        <f t="shared" si="8"/>
        <v>0</v>
      </c>
      <c r="N171" s="672"/>
      <c r="O171" s="701">
        <f t="shared" si="12"/>
        <v>0</v>
      </c>
      <c r="P171" s="672"/>
      <c r="Q171" s="672"/>
      <c r="R171" s="672"/>
      <c r="S171" s="672"/>
      <c r="T171" s="672"/>
      <c r="XFC171" s="674">
        <f t="shared" si="11"/>
        <v>0</v>
      </c>
      <c r="XFD171" s="678">
        <f t="shared" si="13"/>
        <v>0</v>
      </c>
    </row>
    <row r="172" spans="1:20 16383:16384" s="674" customFormat="1" hidden="1" outlineLevel="1" x14ac:dyDescent="0.2">
      <c r="A172" s="291"/>
      <c r="B172" s="291"/>
      <c r="C172" s="637">
        <v>0</v>
      </c>
      <c r="D172" s="661"/>
      <c r="E172" s="644">
        <v>0</v>
      </c>
      <c r="F172" s="662"/>
      <c r="G172" s="662"/>
      <c r="H172" s="662"/>
      <c r="I172" s="646"/>
      <c r="J172" s="646"/>
      <c r="K172" s="646"/>
      <c r="L172" s="646">
        <f t="shared" si="14"/>
        <v>0</v>
      </c>
      <c r="M172" s="663">
        <f t="shared" si="8"/>
        <v>0</v>
      </c>
      <c r="N172" s="672"/>
      <c r="O172" s="701">
        <f t="shared" si="12"/>
        <v>0</v>
      </c>
      <c r="P172" s="672"/>
      <c r="Q172" s="672"/>
      <c r="R172" s="672"/>
      <c r="S172" s="672"/>
      <c r="T172" s="672"/>
      <c r="XFC172" s="674">
        <f t="shared" si="11"/>
        <v>0</v>
      </c>
      <c r="XFD172" s="678">
        <f t="shared" si="13"/>
        <v>0</v>
      </c>
    </row>
    <row r="173" spans="1:20 16383:16384" s="674" customFormat="1" hidden="1" outlineLevel="1" x14ac:dyDescent="0.2">
      <c r="A173" s="291"/>
      <c r="B173" s="291"/>
      <c r="C173" s="637">
        <v>0</v>
      </c>
      <c r="D173" s="661"/>
      <c r="E173" s="644">
        <v>0</v>
      </c>
      <c r="F173" s="662"/>
      <c r="G173" s="662"/>
      <c r="H173" s="662"/>
      <c r="I173" s="646"/>
      <c r="J173" s="646"/>
      <c r="K173" s="646"/>
      <c r="L173" s="646">
        <f t="shared" si="14"/>
        <v>0</v>
      </c>
      <c r="M173" s="663">
        <f t="shared" si="8"/>
        <v>0</v>
      </c>
      <c r="N173" s="672"/>
      <c r="O173" s="701">
        <f t="shared" si="12"/>
        <v>0</v>
      </c>
      <c r="P173" s="672"/>
      <c r="Q173" s="672"/>
      <c r="R173" s="672"/>
      <c r="S173" s="672"/>
      <c r="T173" s="672"/>
      <c r="XFC173" s="674">
        <f t="shared" si="11"/>
        <v>0</v>
      </c>
      <c r="XFD173" s="678">
        <f t="shared" si="13"/>
        <v>0</v>
      </c>
    </row>
    <row r="174" spans="1:20 16383:16384" s="674" customFormat="1" hidden="1" outlineLevel="1" x14ac:dyDescent="0.2">
      <c r="A174" s="291"/>
      <c r="B174" s="291"/>
      <c r="C174" s="637">
        <v>0</v>
      </c>
      <c r="D174" s="661"/>
      <c r="E174" s="644">
        <v>0</v>
      </c>
      <c r="F174" s="662"/>
      <c r="G174" s="662"/>
      <c r="H174" s="662"/>
      <c r="I174" s="646"/>
      <c r="J174" s="646"/>
      <c r="K174" s="646"/>
      <c r="L174" s="646">
        <f t="shared" si="14"/>
        <v>0</v>
      </c>
      <c r="M174" s="663">
        <f t="shared" si="8"/>
        <v>0</v>
      </c>
      <c r="N174" s="672"/>
      <c r="O174" s="701">
        <f t="shared" si="12"/>
        <v>0</v>
      </c>
      <c r="P174" s="672"/>
      <c r="Q174" s="672"/>
      <c r="R174" s="672"/>
      <c r="S174" s="672"/>
      <c r="T174" s="672"/>
      <c r="XFC174" s="674">
        <f t="shared" si="11"/>
        <v>0</v>
      </c>
      <c r="XFD174" s="678">
        <f t="shared" si="13"/>
        <v>0</v>
      </c>
    </row>
    <row r="175" spans="1:20 16383:16384" s="674" customFormat="1" hidden="1" outlineLevel="1" x14ac:dyDescent="0.2">
      <c r="A175" s="291"/>
      <c r="B175" s="291"/>
      <c r="C175" s="637">
        <v>0</v>
      </c>
      <c r="D175" s="661"/>
      <c r="E175" s="644">
        <v>0</v>
      </c>
      <c r="F175" s="662"/>
      <c r="G175" s="662"/>
      <c r="H175" s="662"/>
      <c r="I175" s="646"/>
      <c r="J175" s="646"/>
      <c r="K175" s="646"/>
      <c r="L175" s="646">
        <f t="shared" si="14"/>
        <v>0</v>
      </c>
      <c r="M175" s="663">
        <f t="shared" si="8"/>
        <v>0</v>
      </c>
      <c r="N175" s="672"/>
      <c r="O175" s="701">
        <f t="shared" si="12"/>
        <v>0</v>
      </c>
      <c r="P175" s="672"/>
      <c r="Q175" s="672"/>
      <c r="R175" s="672"/>
      <c r="S175" s="672"/>
      <c r="T175" s="672"/>
      <c r="XFC175" s="674">
        <f t="shared" si="11"/>
        <v>0</v>
      </c>
      <c r="XFD175" s="678">
        <f t="shared" si="13"/>
        <v>0</v>
      </c>
    </row>
    <row r="176" spans="1:20 16383:16384" s="674" customFormat="1" hidden="1" outlineLevel="1" x14ac:dyDescent="0.2">
      <c r="A176" s="291"/>
      <c r="B176" s="291"/>
      <c r="C176" s="637">
        <v>0</v>
      </c>
      <c r="D176" s="661"/>
      <c r="E176" s="644">
        <v>0</v>
      </c>
      <c r="F176" s="662"/>
      <c r="G176" s="662"/>
      <c r="H176" s="662"/>
      <c r="I176" s="646"/>
      <c r="J176" s="646"/>
      <c r="K176" s="646"/>
      <c r="L176" s="646">
        <f t="shared" si="14"/>
        <v>0</v>
      </c>
      <c r="M176" s="663">
        <f t="shared" si="8"/>
        <v>0</v>
      </c>
      <c r="N176" s="672"/>
      <c r="O176" s="701">
        <f t="shared" si="12"/>
        <v>0</v>
      </c>
      <c r="P176" s="672"/>
      <c r="Q176" s="672"/>
      <c r="R176" s="672"/>
      <c r="S176" s="672"/>
      <c r="T176" s="672"/>
      <c r="XFC176" s="674">
        <f t="shared" si="11"/>
        <v>0</v>
      </c>
      <c r="XFD176" s="678">
        <f t="shared" si="13"/>
        <v>0</v>
      </c>
    </row>
    <row r="177" spans="1:20 16383:16384" s="674" customFormat="1" hidden="1" outlineLevel="1" x14ac:dyDescent="0.2">
      <c r="A177" s="291"/>
      <c r="B177" s="291"/>
      <c r="C177" s="637">
        <v>0</v>
      </c>
      <c r="D177" s="661"/>
      <c r="E177" s="644">
        <v>0</v>
      </c>
      <c r="F177" s="662"/>
      <c r="G177" s="662"/>
      <c r="H177" s="662"/>
      <c r="I177" s="646"/>
      <c r="J177" s="646"/>
      <c r="K177" s="646"/>
      <c r="L177" s="646">
        <f t="shared" si="14"/>
        <v>0</v>
      </c>
      <c r="M177" s="663">
        <f t="shared" si="8"/>
        <v>0</v>
      </c>
      <c r="N177" s="672"/>
      <c r="O177" s="701">
        <f t="shared" si="12"/>
        <v>0</v>
      </c>
      <c r="P177" s="672"/>
      <c r="Q177" s="672"/>
      <c r="R177" s="672"/>
      <c r="S177" s="672"/>
      <c r="T177" s="672"/>
      <c r="XFC177" s="674">
        <f t="shared" si="11"/>
        <v>0</v>
      </c>
      <c r="XFD177" s="678">
        <f t="shared" si="13"/>
        <v>0</v>
      </c>
    </row>
    <row r="178" spans="1:20 16383:16384" s="674" customFormat="1" hidden="1" outlineLevel="1" x14ac:dyDescent="0.2">
      <c r="A178" s="291"/>
      <c r="B178" s="291"/>
      <c r="C178" s="637">
        <v>0</v>
      </c>
      <c r="D178" s="661"/>
      <c r="E178" s="644">
        <v>0</v>
      </c>
      <c r="F178" s="662"/>
      <c r="G178" s="662"/>
      <c r="H178" s="662"/>
      <c r="I178" s="646"/>
      <c r="J178" s="646"/>
      <c r="K178" s="646"/>
      <c r="L178" s="646">
        <f t="shared" si="14"/>
        <v>0</v>
      </c>
      <c r="M178" s="663">
        <f t="shared" si="8"/>
        <v>0</v>
      </c>
      <c r="N178" s="672"/>
      <c r="O178" s="701">
        <f t="shared" si="12"/>
        <v>0</v>
      </c>
      <c r="P178" s="672"/>
      <c r="Q178" s="672"/>
      <c r="R178" s="672"/>
      <c r="S178" s="672"/>
      <c r="T178" s="672"/>
      <c r="XFC178" s="674">
        <f t="shared" si="11"/>
        <v>0</v>
      </c>
      <c r="XFD178" s="678">
        <f t="shared" si="13"/>
        <v>0</v>
      </c>
    </row>
    <row r="179" spans="1:20 16383:16384" s="674" customFormat="1" hidden="1" outlineLevel="1" x14ac:dyDescent="0.2">
      <c r="A179" s="291"/>
      <c r="B179" s="291"/>
      <c r="C179" s="637">
        <v>0</v>
      </c>
      <c r="D179" s="661"/>
      <c r="E179" s="644">
        <v>0</v>
      </c>
      <c r="F179" s="662"/>
      <c r="G179" s="662"/>
      <c r="H179" s="662"/>
      <c r="I179" s="646"/>
      <c r="J179" s="646"/>
      <c r="K179" s="646"/>
      <c r="L179" s="646">
        <f t="shared" si="14"/>
        <v>0</v>
      </c>
      <c r="M179" s="663">
        <f t="shared" si="8"/>
        <v>0</v>
      </c>
      <c r="N179" s="672"/>
      <c r="O179" s="701">
        <f t="shared" si="12"/>
        <v>0</v>
      </c>
      <c r="P179" s="672"/>
      <c r="Q179" s="672"/>
      <c r="R179" s="672"/>
      <c r="S179" s="672"/>
      <c r="T179" s="672"/>
      <c r="XFC179" s="674">
        <f t="shared" si="11"/>
        <v>0</v>
      </c>
      <c r="XFD179" s="678">
        <f t="shared" si="13"/>
        <v>0</v>
      </c>
    </row>
    <row r="180" spans="1:20 16383:16384" s="674" customFormat="1" hidden="1" outlineLevel="1" x14ac:dyDescent="0.2">
      <c r="A180" s="291"/>
      <c r="B180" s="291"/>
      <c r="C180" s="637">
        <v>0</v>
      </c>
      <c r="D180" s="661"/>
      <c r="E180" s="644">
        <v>0</v>
      </c>
      <c r="F180" s="662"/>
      <c r="G180" s="662"/>
      <c r="H180" s="662"/>
      <c r="I180" s="646"/>
      <c r="J180" s="646"/>
      <c r="K180" s="646"/>
      <c r="L180" s="646">
        <f t="shared" si="14"/>
        <v>0</v>
      </c>
      <c r="M180" s="663">
        <f t="shared" si="8"/>
        <v>0</v>
      </c>
      <c r="N180" s="672"/>
      <c r="O180" s="701">
        <f t="shared" si="12"/>
        <v>0</v>
      </c>
      <c r="P180" s="672"/>
      <c r="Q180" s="672"/>
      <c r="R180" s="672"/>
      <c r="S180" s="672"/>
      <c r="T180" s="672"/>
      <c r="XFC180" s="674">
        <f t="shared" si="11"/>
        <v>0</v>
      </c>
      <c r="XFD180" s="678">
        <f t="shared" si="13"/>
        <v>0</v>
      </c>
    </row>
    <row r="181" spans="1:20 16383:16384" s="674" customFormat="1" hidden="1" outlineLevel="1" x14ac:dyDescent="0.2">
      <c r="A181" s="291"/>
      <c r="B181" s="291"/>
      <c r="C181" s="637">
        <v>0</v>
      </c>
      <c r="D181" s="661"/>
      <c r="E181" s="644">
        <v>0</v>
      </c>
      <c r="F181" s="662"/>
      <c r="G181" s="662"/>
      <c r="H181" s="662"/>
      <c r="I181" s="646"/>
      <c r="J181" s="646"/>
      <c r="K181" s="646"/>
      <c r="L181" s="646">
        <f t="shared" si="14"/>
        <v>0</v>
      </c>
      <c r="M181" s="663">
        <f t="shared" si="8"/>
        <v>0</v>
      </c>
      <c r="N181" s="672"/>
      <c r="O181" s="701">
        <f t="shared" si="12"/>
        <v>0</v>
      </c>
      <c r="P181" s="672"/>
      <c r="Q181" s="672"/>
      <c r="R181" s="672"/>
      <c r="S181" s="672"/>
      <c r="T181" s="672"/>
      <c r="XFC181" s="674">
        <f t="shared" si="11"/>
        <v>0</v>
      </c>
      <c r="XFD181" s="678">
        <f t="shared" si="13"/>
        <v>0</v>
      </c>
    </row>
    <row r="182" spans="1:20 16383:16384" s="674" customFormat="1" hidden="1" outlineLevel="1" x14ac:dyDescent="0.2">
      <c r="A182" s="291"/>
      <c r="B182" s="291"/>
      <c r="C182" s="637">
        <v>0</v>
      </c>
      <c r="D182" s="661"/>
      <c r="E182" s="644">
        <v>0</v>
      </c>
      <c r="F182" s="662"/>
      <c r="G182" s="662"/>
      <c r="H182" s="662"/>
      <c r="I182" s="646"/>
      <c r="J182" s="646"/>
      <c r="K182" s="646"/>
      <c r="L182" s="646">
        <f>IF(L181="","",L181)</f>
        <v>0</v>
      </c>
      <c r="M182" s="663">
        <f t="shared" si="8"/>
        <v>0</v>
      </c>
      <c r="N182" s="672"/>
      <c r="O182" s="701">
        <f t="shared" si="12"/>
        <v>0</v>
      </c>
      <c r="P182" s="672"/>
      <c r="Q182" s="672"/>
      <c r="R182" s="672"/>
      <c r="S182" s="672"/>
      <c r="T182" s="672"/>
      <c r="XFC182" s="674">
        <f t="shared" si="11"/>
        <v>0</v>
      </c>
      <c r="XFD182" s="678">
        <f t="shared" si="13"/>
        <v>0</v>
      </c>
    </row>
    <row r="183" spans="1:20 16383:16384" s="674" customFormat="1" hidden="1" outlineLevel="1" x14ac:dyDescent="0.2">
      <c r="A183" s="291"/>
      <c r="B183" s="291"/>
      <c r="C183" s="637">
        <v>0</v>
      </c>
      <c r="D183" s="661"/>
      <c r="E183" s="644">
        <v>0</v>
      </c>
      <c r="F183" s="662"/>
      <c r="G183" s="662"/>
      <c r="H183" s="662"/>
      <c r="I183" s="646"/>
      <c r="J183" s="646"/>
      <c r="K183" s="646"/>
      <c r="L183" s="646">
        <f t="shared" si="14"/>
        <v>0</v>
      </c>
      <c r="M183" s="663">
        <f t="shared" si="8"/>
        <v>0</v>
      </c>
      <c r="N183" s="672"/>
      <c r="O183" s="701">
        <f t="shared" si="12"/>
        <v>0</v>
      </c>
      <c r="P183" s="672"/>
      <c r="Q183" s="672"/>
      <c r="R183" s="672"/>
      <c r="S183" s="672"/>
      <c r="T183" s="672"/>
      <c r="XFC183" s="674">
        <f t="shared" si="11"/>
        <v>0</v>
      </c>
      <c r="XFD183" s="678">
        <f t="shared" si="13"/>
        <v>0</v>
      </c>
    </row>
    <row r="184" spans="1:20 16383:16384" s="674" customFormat="1" hidden="1" outlineLevel="1" x14ac:dyDescent="0.2">
      <c r="A184" s="291"/>
      <c r="B184" s="291"/>
      <c r="C184" s="637">
        <v>0</v>
      </c>
      <c r="D184" s="661"/>
      <c r="E184" s="644">
        <v>0</v>
      </c>
      <c r="F184" s="662"/>
      <c r="G184" s="662"/>
      <c r="H184" s="662"/>
      <c r="I184" s="646"/>
      <c r="J184" s="646"/>
      <c r="K184" s="646"/>
      <c r="L184" s="646">
        <f t="shared" si="14"/>
        <v>0</v>
      </c>
      <c r="M184" s="663">
        <f t="shared" si="8"/>
        <v>0</v>
      </c>
      <c r="N184" s="672"/>
      <c r="O184" s="701">
        <f t="shared" si="12"/>
        <v>0</v>
      </c>
      <c r="P184" s="672"/>
      <c r="Q184" s="672"/>
      <c r="R184" s="672"/>
      <c r="S184" s="672"/>
      <c r="T184" s="672"/>
      <c r="XFC184" s="674">
        <f t="shared" si="11"/>
        <v>0</v>
      </c>
      <c r="XFD184" s="678">
        <f t="shared" si="13"/>
        <v>0</v>
      </c>
    </row>
    <row r="185" spans="1:20 16383:16384" s="674" customFormat="1" hidden="1" outlineLevel="1" x14ac:dyDescent="0.2">
      <c r="A185" s="291"/>
      <c r="B185" s="291"/>
      <c r="C185" s="637">
        <v>0</v>
      </c>
      <c r="D185" s="661"/>
      <c r="E185" s="644">
        <v>0</v>
      </c>
      <c r="F185" s="662"/>
      <c r="G185" s="662"/>
      <c r="H185" s="662"/>
      <c r="I185" s="646"/>
      <c r="J185" s="646"/>
      <c r="K185" s="646"/>
      <c r="L185" s="646">
        <f t="shared" si="14"/>
        <v>0</v>
      </c>
      <c r="M185" s="663">
        <f t="shared" si="8"/>
        <v>0</v>
      </c>
      <c r="N185" s="672"/>
      <c r="O185" s="701">
        <f t="shared" si="12"/>
        <v>0</v>
      </c>
      <c r="P185" s="672"/>
      <c r="Q185" s="672"/>
      <c r="R185" s="672"/>
      <c r="S185" s="672"/>
      <c r="T185" s="672"/>
      <c r="XFC185" s="674">
        <f t="shared" si="11"/>
        <v>0</v>
      </c>
      <c r="XFD185" s="678">
        <f t="shared" si="13"/>
        <v>0</v>
      </c>
    </row>
    <row r="186" spans="1:20 16383:16384" s="674" customFormat="1" hidden="1" outlineLevel="1" x14ac:dyDescent="0.2">
      <c r="A186" s="291"/>
      <c r="B186" s="291"/>
      <c r="C186" s="637">
        <v>0</v>
      </c>
      <c r="D186" s="661"/>
      <c r="E186" s="644">
        <v>0</v>
      </c>
      <c r="F186" s="662"/>
      <c r="G186" s="662"/>
      <c r="H186" s="662"/>
      <c r="I186" s="646"/>
      <c r="J186" s="646"/>
      <c r="K186" s="646"/>
      <c r="L186" s="646">
        <f t="shared" si="14"/>
        <v>0</v>
      </c>
      <c r="M186" s="663">
        <f t="shared" si="8"/>
        <v>0</v>
      </c>
      <c r="N186" s="672"/>
      <c r="O186" s="701">
        <f t="shared" si="12"/>
        <v>0</v>
      </c>
      <c r="P186" s="672"/>
      <c r="Q186" s="672"/>
      <c r="R186" s="672"/>
      <c r="S186" s="672"/>
      <c r="T186" s="672"/>
      <c r="XFC186" s="674">
        <f t="shared" si="11"/>
        <v>0</v>
      </c>
      <c r="XFD186" s="678">
        <f t="shared" si="13"/>
        <v>0</v>
      </c>
    </row>
    <row r="187" spans="1:20 16383:16384" s="674" customFormat="1" hidden="1" outlineLevel="1" x14ac:dyDescent="0.2">
      <c r="A187" s="291"/>
      <c r="B187" s="291"/>
      <c r="C187" s="637">
        <v>0</v>
      </c>
      <c r="D187" s="661"/>
      <c r="E187" s="644">
        <v>0</v>
      </c>
      <c r="F187" s="662"/>
      <c r="G187" s="662"/>
      <c r="H187" s="662"/>
      <c r="I187" s="646"/>
      <c r="J187" s="646"/>
      <c r="K187" s="646"/>
      <c r="L187" s="646">
        <f t="shared" si="14"/>
        <v>0</v>
      </c>
      <c r="M187" s="663">
        <f t="shared" si="8"/>
        <v>0</v>
      </c>
      <c r="N187" s="672"/>
      <c r="O187" s="701">
        <f t="shared" si="12"/>
        <v>0</v>
      </c>
      <c r="P187" s="672"/>
      <c r="Q187" s="672"/>
      <c r="R187" s="672"/>
      <c r="S187" s="672"/>
      <c r="T187" s="672"/>
      <c r="XFC187" s="674">
        <f t="shared" si="11"/>
        <v>0</v>
      </c>
      <c r="XFD187" s="678">
        <f t="shared" si="13"/>
        <v>0</v>
      </c>
    </row>
    <row r="188" spans="1:20 16383:16384" s="674" customFormat="1" hidden="1" outlineLevel="1" x14ac:dyDescent="0.2">
      <c r="A188" s="291"/>
      <c r="B188" s="291"/>
      <c r="C188" s="637">
        <v>0</v>
      </c>
      <c r="D188" s="661"/>
      <c r="E188" s="644">
        <v>0</v>
      </c>
      <c r="F188" s="662"/>
      <c r="G188" s="662"/>
      <c r="H188" s="662"/>
      <c r="I188" s="646"/>
      <c r="J188" s="646"/>
      <c r="K188" s="646"/>
      <c r="L188" s="646">
        <f t="shared" si="14"/>
        <v>0</v>
      </c>
      <c r="M188" s="663">
        <f t="shared" si="8"/>
        <v>0</v>
      </c>
      <c r="N188" s="672"/>
      <c r="O188" s="701">
        <f t="shared" si="12"/>
        <v>0</v>
      </c>
      <c r="P188" s="672"/>
      <c r="Q188" s="672"/>
      <c r="R188" s="672"/>
      <c r="S188" s="672"/>
      <c r="T188" s="672"/>
      <c r="XFC188" s="674">
        <f t="shared" si="11"/>
        <v>0</v>
      </c>
      <c r="XFD188" s="678">
        <f t="shared" si="13"/>
        <v>0</v>
      </c>
    </row>
    <row r="189" spans="1:20 16383:16384" s="674" customFormat="1" hidden="1" outlineLevel="1" x14ac:dyDescent="0.2">
      <c r="A189" s="291"/>
      <c r="B189" s="291"/>
      <c r="C189" s="637">
        <v>0</v>
      </c>
      <c r="D189" s="661"/>
      <c r="E189" s="644">
        <v>0</v>
      </c>
      <c r="F189" s="662"/>
      <c r="G189" s="662"/>
      <c r="H189" s="662"/>
      <c r="I189" s="646"/>
      <c r="J189" s="646"/>
      <c r="K189" s="646"/>
      <c r="L189" s="646">
        <f t="shared" si="14"/>
        <v>0</v>
      </c>
      <c r="M189" s="663">
        <f t="shared" si="8"/>
        <v>0</v>
      </c>
      <c r="N189" s="672"/>
      <c r="O189" s="701">
        <f t="shared" si="12"/>
        <v>0</v>
      </c>
      <c r="P189" s="672"/>
      <c r="Q189" s="672"/>
      <c r="R189" s="672"/>
      <c r="S189" s="672"/>
      <c r="T189" s="672"/>
      <c r="XFC189" s="674">
        <f t="shared" si="11"/>
        <v>0</v>
      </c>
      <c r="XFD189" s="678">
        <f t="shared" si="13"/>
        <v>0</v>
      </c>
    </row>
    <row r="190" spans="1:20 16383:16384" s="674" customFormat="1" hidden="1" outlineLevel="1" x14ac:dyDescent="0.2">
      <c r="A190" s="291"/>
      <c r="B190" s="291"/>
      <c r="C190" s="637">
        <v>0</v>
      </c>
      <c r="D190" s="661"/>
      <c r="E190" s="644">
        <v>0</v>
      </c>
      <c r="F190" s="662"/>
      <c r="G190" s="662"/>
      <c r="H190" s="662"/>
      <c r="I190" s="646"/>
      <c r="J190" s="646"/>
      <c r="K190" s="646"/>
      <c r="L190" s="646">
        <f t="shared" si="14"/>
        <v>0</v>
      </c>
      <c r="M190" s="663">
        <f t="shared" si="8"/>
        <v>0</v>
      </c>
      <c r="N190" s="672"/>
      <c r="O190" s="701">
        <f t="shared" si="12"/>
        <v>0</v>
      </c>
      <c r="P190" s="672"/>
      <c r="Q190" s="672"/>
      <c r="R190" s="672"/>
      <c r="S190" s="672"/>
      <c r="T190" s="672"/>
      <c r="XFC190" s="674">
        <f t="shared" si="11"/>
        <v>0</v>
      </c>
      <c r="XFD190" s="678">
        <f t="shared" si="13"/>
        <v>0</v>
      </c>
    </row>
    <row r="191" spans="1:20 16383:16384" s="674" customFormat="1" hidden="1" outlineLevel="1" x14ac:dyDescent="0.2">
      <c r="A191" s="291"/>
      <c r="B191" s="291"/>
      <c r="C191" s="637">
        <v>0</v>
      </c>
      <c r="D191" s="661"/>
      <c r="E191" s="644">
        <v>0</v>
      </c>
      <c r="F191" s="662"/>
      <c r="G191" s="662"/>
      <c r="H191" s="662"/>
      <c r="I191" s="646"/>
      <c r="J191" s="646"/>
      <c r="K191" s="646"/>
      <c r="L191" s="646">
        <f t="shared" si="14"/>
        <v>0</v>
      </c>
      <c r="M191" s="663">
        <f t="shared" si="8"/>
        <v>0</v>
      </c>
      <c r="N191" s="672"/>
      <c r="O191" s="701">
        <f t="shared" si="12"/>
        <v>0</v>
      </c>
      <c r="P191" s="672"/>
      <c r="Q191" s="672"/>
      <c r="R191" s="672"/>
      <c r="S191" s="672"/>
      <c r="T191" s="672"/>
      <c r="XFC191" s="674">
        <f t="shared" si="11"/>
        <v>0</v>
      </c>
      <c r="XFD191" s="678">
        <f t="shared" si="13"/>
        <v>0</v>
      </c>
    </row>
    <row r="192" spans="1:20 16383:16384" s="674" customFormat="1" hidden="1" outlineLevel="1" x14ac:dyDescent="0.2">
      <c r="A192" s="291"/>
      <c r="B192" s="291"/>
      <c r="C192" s="637">
        <v>0</v>
      </c>
      <c r="D192" s="661"/>
      <c r="E192" s="644">
        <v>0</v>
      </c>
      <c r="F192" s="662"/>
      <c r="G192" s="662"/>
      <c r="H192" s="662"/>
      <c r="I192" s="646"/>
      <c r="J192" s="646"/>
      <c r="K192" s="646"/>
      <c r="L192" s="646">
        <f t="shared" si="14"/>
        <v>0</v>
      </c>
      <c r="M192" s="663">
        <f t="shared" si="8"/>
        <v>0</v>
      </c>
      <c r="N192" s="672"/>
      <c r="O192" s="701">
        <f t="shared" si="12"/>
        <v>0</v>
      </c>
      <c r="P192" s="672"/>
      <c r="Q192" s="672"/>
      <c r="R192" s="672"/>
      <c r="S192" s="672"/>
      <c r="T192" s="672"/>
      <c r="XFC192" s="674">
        <f t="shared" si="11"/>
        <v>0</v>
      </c>
      <c r="XFD192" s="678">
        <f t="shared" si="13"/>
        <v>0</v>
      </c>
    </row>
    <row r="193" spans="1:20 16383:16384" s="674" customFormat="1" hidden="1" outlineLevel="1" x14ac:dyDescent="0.2">
      <c r="A193" s="291"/>
      <c r="B193" s="291"/>
      <c r="C193" s="637">
        <v>0</v>
      </c>
      <c r="D193" s="661"/>
      <c r="E193" s="644">
        <v>0</v>
      </c>
      <c r="F193" s="662"/>
      <c r="G193" s="662"/>
      <c r="H193" s="662"/>
      <c r="I193" s="646"/>
      <c r="J193" s="646"/>
      <c r="K193" s="646"/>
      <c r="L193" s="646">
        <f t="shared" si="14"/>
        <v>0</v>
      </c>
      <c r="M193" s="663">
        <f t="shared" si="8"/>
        <v>0</v>
      </c>
      <c r="N193" s="672"/>
      <c r="O193" s="701">
        <f t="shared" si="12"/>
        <v>0</v>
      </c>
      <c r="P193" s="672"/>
      <c r="Q193" s="672"/>
      <c r="R193" s="672"/>
      <c r="S193" s="672"/>
      <c r="T193" s="672"/>
      <c r="XFC193" s="674">
        <f t="shared" si="11"/>
        <v>0</v>
      </c>
      <c r="XFD193" s="678">
        <f t="shared" si="13"/>
        <v>0</v>
      </c>
    </row>
    <row r="194" spans="1:20 16383:16384" s="674" customFormat="1" hidden="1" outlineLevel="1" x14ac:dyDescent="0.2">
      <c r="A194" s="291"/>
      <c r="B194" s="291"/>
      <c r="C194" s="637">
        <v>0</v>
      </c>
      <c r="D194" s="661"/>
      <c r="E194" s="644">
        <v>0</v>
      </c>
      <c r="F194" s="662"/>
      <c r="G194" s="662"/>
      <c r="H194" s="662"/>
      <c r="I194" s="646"/>
      <c r="J194" s="646"/>
      <c r="K194" s="646"/>
      <c r="L194" s="646">
        <f t="shared" si="14"/>
        <v>0</v>
      </c>
      <c r="M194" s="663">
        <f t="shared" si="8"/>
        <v>0</v>
      </c>
      <c r="N194" s="672"/>
      <c r="O194" s="701">
        <f t="shared" si="12"/>
        <v>0</v>
      </c>
      <c r="P194" s="672"/>
      <c r="Q194" s="672"/>
      <c r="R194" s="672"/>
      <c r="S194" s="672"/>
      <c r="T194" s="672"/>
      <c r="XFC194" s="674">
        <f t="shared" si="11"/>
        <v>0</v>
      </c>
      <c r="XFD194" s="678">
        <f t="shared" si="13"/>
        <v>0</v>
      </c>
    </row>
    <row r="195" spans="1:20 16383:16384" s="674" customFormat="1" hidden="1" outlineLevel="1" x14ac:dyDescent="0.2">
      <c r="A195" s="291"/>
      <c r="B195" s="291"/>
      <c r="C195" s="637">
        <v>0</v>
      </c>
      <c r="D195" s="661"/>
      <c r="E195" s="644">
        <v>0</v>
      </c>
      <c r="F195" s="662"/>
      <c r="G195" s="662"/>
      <c r="H195" s="662"/>
      <c r="I195" s="646"/>
      <c r="J195" s="646"/>
      <c r="K195" s="646"/>
      <c r="L195" s="646">
        <f t="shared" si="14"/>
        <v>0</v>
      </c>
      <c r="M195" s="663">
        <f t="shared" si="8"/>
        <v>0</v>
      </c>
      <c r="N195" s="672"/>
      <c r="O195" s="701">
        <f t="shared" si="12"/>
        <v>0</v>
      </c>
      <c r="P195" s="672"/>
      <c r="Q195" s="672"/>
      <c r="R195" s="672"/>
      <c r="S195" s="672"/>
      <c r="T195" s="672"/>
      <c r="XFC195" s="674">
        <f t="shared" si="11"/>
        <v>0</v>
      </c>
      <c r="XFD195" s="678">
        <f t="shared" si="13"/>
        <v>0</v>
      </c>
    </row>
    <row r="196" spans="1:20 16383:16384" s="674" customFormat="1" hidden="1" outlineLevel="1" x14ac:dyDescent="0.2">
      <c r="A196" s="291"/>
      <c r="B196" s="291"/>
      <c r="C196" s="637">
        <v>0</v>
      </c>
      <c r="D196" s="661"/>
      <c r="E196" s="644">
        <v>0</v>
      </c>
      <c r="F196" s="662"/>
      <c r="G196" s="662"/>
      <c r="H196" s="662"/>
      <c r="I196" s="646"/>
      <c r="J196" s="646"/>
      <c r="K196" s="646"/>
      <c r="L196" s="646">
        <f t="shared" si="14"/>
        <v>0</v>
      </c>
      <c r="M196" s="663">
        <f t="shared" si="8"/>
        <v>0</v>
      </c>
      <c r="N196" s="672"/>
      <c r="O196" s="701">
        <f t="shared" si="12"/>
        <v>0</v>
      </c>
      <c r="P196" s="672"/>
      <c r="Q196" s="672"/>
      <c r="R196" s="672"/>
      <c r="S196" s="672"/>
      <c r="T196" s="672"/>
      <c r="XFC196" s="674">
        <f t="shared" si="11"/>
        <v>0</v>
      </c>
      <c r="XFD196" s="678">
        <f t="shared" si="13"/>
        <v>0</v>
      </c>
    </row>
    <row r="197" spans="1:20 16383:16384" s="674" customFormat="1" hidden="1" outlineLevel="1" x14ac:dyDescent="0.2">
      <c r="A197" s="291"/>
      <c r="B197" s="291"/>
      <c r="C197" s="637">
        <v>0</v>
      </c>
      <c r="D197" s="661"/>
      <c r="E197" s="644">
        <v>0</v>
      </c>
      <c r="F197" s="662"/>
      <c r="G197" s="662"/>
      <c r="H197" s="662"/>
      <c r="I197" s="646"/>
      <c r="J197" s="646"/>
      <c r="K197" s="646"/>
      <c r="L197" s="646">
        <f t="shared" si="14"/>
        <v>0</v>
      </c>
      <c r="M197" s="663">
        <f t="shared" si="8"/>
        <v>0</v>
      </c>
      <c r="N197" s="672"/>
      <c r="O197" s="701">
        <f t="shared" si="12"/>
        <v>0</v>
      </c>
      <c r="P197" s="672"/>
      <c r="Q197" s="672"/>
      <c r="R197" s="672"/>
      <c r="S197" s="672"/>
      <c r="T197" s="672"/>
      <c r="XFC197" s="674">
        <f t="shared" si="11"/>
        <v>0</v>
      </c>
      <c r="XFD197" s="678">
        <f t="shared" si="13"/>
        <v>0</v>
      </c>
    </row>
    <row r="198" spans="1:20 16383:16384" s="674" customFormat="1" hidden="1" outlineLevel="1" x14ac:dyDescent="0.2">
      <c r="A198" s="291"/>
      <c r="B198" s="291"/>
      <c r="C198" s="637">
        <v>0</v>
      </c>
      <c r="D198" s="661"/>
      <c r="E198" s="644">
        <v>0</v>
      </c>
      <c r="F198" s="662"/>
      <c r="G198" s="662"/>
      <c r="H198" s="662"/>
      <c r="I198" s="646"/>
      <c r="J198" s="646"/>
      <c r="K198" s="646"/>
      <c r="L198" s="646">
        <f t="shared" si="14"/>
        <v>0</v>
      </c>
      <c r="M198" s="663">
        <f t="shared" si="8"/>
        <v>0</v>
      </c>
      <c r="N198" s="672"/>
      <c r="O198" s="701">
        <f t="shared" si="12"/>
        <v>0</v>
      </c>
      <c r="P198" s="672"/>
      <c r="Q198" s="672"/>
      <c r="R198" s="672"/>
      <c r="S198" s="672"/>
      <c r="T198" s="672"/>
      <c r="XFC198" s="674">
        <f t="shared" si="11"/>
        <v>0</v>
      </c>
      <c r="XFD198" s="678">
        <f t="shared" si="13"/>
        <v>0</v>
      </c>
    </row>
    <row r="199" spans="1:20 16383:16384" s="674" customFormat="1" hidden="1" outlineLevel="1" x14ac:dyDescent="0.2">
      <c r="A199" s="291"/>
      <c r="B199" s="291"/>
      <c r="C199" s="637">
        <v>0</v>
      </c>
      <c r="D199" s="661"/>
      <c r="E199" s="644">
        <v>0</v>
      </c>
      <c r="F199" s="662"/>
      <c r="G199" s="662"/>
      <c r="H199" s="662"/>
      <c r="I199" s="646"/>
      <c r="J199" s="646"/>
      <c r="K199" s="646"/>
      <c r="L199" s="646">
        <f t="shared" si="14"/>
        <v>0</v>
      </c>
      <c r="M199" s="663">
        <f t="shared" si="8"/>
        <v>0</v>
      </c>
      <c r="N199" s="672"/>
      <c r="O199" s="701">
        <f t="shared" si="12"/>
        <v>0</v>
      </c>
      <c r="P199" s="672"/>
      <c r="Q199" s="672"/>
      <c r="R199" s="672"/>
      <c r="S199" s="672"/>
      <c r="T199" s="672"/>
      <c r="XFC199" s="674">
        <f t="shared" si="11"/>
        <v>0</v>
      </c>
      <c r="XFD199" s="678">
        <f t="shared" si="13"/>
        <v>0</v>
      </c>
    </row>
    <row r="200" spans="1:20 16383:16384" s="674" customFormat="1" hidden="1" outlineLevel="1" x14ac:dyDescent="0.2">
      <c r="A200" s="291"/>
      <c r="B200" s="291"/>
      <c r="C200" s="637">
        <v>0</v>
      </c>
      <c r="D200" s="661"/>
      <c r="E200" s="644">
        <v>0</v>
      </c>
      <c r="F200" s="662"/>
      <c r="G200" s="662"/>
      <c r="H200" s="662"/>
      <c r="I200" s="646"/>
      <c r="J200" s="646"/>
      <c r="K200" s="646"/>
      <c r="L200" s="646">
        <f t="shared" si="14"/>
        <v>0</v>
      </c>
      <c r="M200" s="663">
        <f t="shared" si="8"/>
        <v>0</v>
      </c>
      <c r="N200" s="672"/>
      <c r="O200" s="701">
        <f t="shared" si="12"/>
        <v>0</v>
      </c>
      <c r="P200" s="672"/>
      <c r="Q200" s="672"/>
      <c r="R200" s="672"/>
      <c r="S200" s="672"/>
      <c r="T200" s="672"/>
      <c r="XFC200" s="674">
        <f t="shared" si="11"/>
        <v>0</v>
      </c>
      <c r="XFD200" s="678">
        <f t="shared" si="13"/>
        <v>0</v>
      </c>
    </row>
    <row r="201" spans="1:20 16383:16384" s="674" customFormat="1" hidden="1" outlineLevel="1" x14ac:dyDescent="0.2">
      <c r="A201" s="291"/>
      <c r="B201" s="291"/>
      <c r="C201" s="637">
        <v>0</v>
      </c>
      <c r="D201" s="661"/>
      <c r="E201" s="644">
        <v>0</v>
      </c>
      <c r="F201" s="662"/>
      <c r="G201" s="662"/>
      <c r="H201" s="662"/>
      <c r="I201" s="646"/>
      <c r="J201" s="646"/>
      <c r="K201" s="646"/>
      <c r="L201" s="646">
        <f t="shared" si="14"/>
        <v>0</v>
      </c>
      <c r="M201" s="663">
        <f t="shared" si="8"/>
        <v>0</v>
      </c>
      <c r="N201" s="672"/>
      <c r="O201" s="701">
        <f t="shared" si="12"/>
        <v>0</v>
      </c>
      <c r="P201" s="672"/>
      <c r="Q201" s="672"/>
      <c r="R201" s="672"/>
      <c r="S201" s="672"/>
      <c r="T201" s="672"/>
      <c r="XFC201" s="674">
        <f t="shared" si="11"/>
        <v>0</v>
      </c>
      <c r="XFD201" s="678">
        <f t="shared" si="13"/>
        <v>0</v>
      </c>
    </row>
    <row r="202" spans="1:20 16383:16384" s="674" customFormat="1" hidden="1" outlineLevel="1" x14ac:dyDescent="0.2">
      <c r="A202" s="291"/>
      <c r="B202" s="291"/>
      <c r="C202" s="637">
        <v>0</v>
      </c>
      <c r="D202" s="661"/>
      <c r="E202" s="644">
        <v>0</v>
      </c>
      <c r="F202" s="662"/>
      <c r="G202" s="662"/>
      <c r="H202" s="662"/>
      <c r="I202" s="646"/>
      <c r="J202" s="646"/>
      <c r="K202" s="646"/>
      <c r="L202" s="646">
        <f t="shared" si="14"/>
        <v>0</v>
      </c>
      <c r="M202" s="663">
        <f t="shared" si="8"/>
        <v>0</v>
      </c>
      <c r="N202" s="672"/>
      <c r="O202" s="701">
        <f t="shared" si="12"/>
        <v>0</v>
      </c>
      <c r="P202" s="672"/>
      <c r="Q202" s="672"/>
      <c r="R202" s="672"/>
      <c r="S202" s="672"/>
      <c r="T202" s="672"/>
      <c r="XFC202" s="674">
        <f t="shared" si="11"/>
        <v>0</v>
      </c>
      <c r="XFD202" s="678">
        <f t="shared" si="13"/>
        <v>0</v>
      </c>
    </row>
    <row r="203" spans="1:20 16383:16384" s="674" customFormat="1" hidden="1" outlineLevel="1" x14ac:dyDescent="0.2">
      <c r="A203" s="291"/>
      <c r="B203" s="291"/>
      <c r="C203" s="637">
        <v>0</v>
      </c>
      <c r="D203" s="661"/>
      <c r="E203" s="644">
        <v>0</v>
      </c>
      <c r="F203" s="662"/>
      <c r="G203" s="662"/>
      <c r="H203" s="662"/>
      <c r="I203" s="646"/>
      <c r="J203" s="646"/>
      <c r="K203" s="646"/>
      <c r="L203" s="646">
        <f t="shared" si="14"/>
        <v>0</v>
      </c>
      <c r="M203" s="663">
        <f t="shared" si="8"/>
        <v>0</v>
      </c>
      <c r="N203" s="672"/>
      <c r="O203" s="701">
        <f t="shared" si="12"/>
        <v>0</v>
      </c>
      <c r="P203" s="672"/>
      <c r="Q203" s="672"/>
      <c r="R203" s="672"/>
      <c r="S203" s="672"/>
      <c r="T203" s="672"/>
      <c r="XFC203" s="674">
        <f t="shared" si="11"/>
        <v>0</v>
      </c>
      <c r="XFD203" s="678">
        <f t="shared" si="13"/>
        <v>0</v>
      </c>
    </row>
    <row r="204" spans="1:20 16383:16384" s="674" customFormat="1" hidden="1" outlineLevel="1" x14ac:dyDescent="0.2">
      <c r="A204" s="291"/>
      <c r="B204" s="291"/>
      <c r="C204" s="637">
        <v>0</v>
      </c>
      <c r="D204" s="661"/>
      <c r="E204" s="644">
        <v>0</v>
      </c>
      <c r="F204" s="662"/>
      <c r="G204" s="662"/>
      <c r="H204" s="662"/>
      <c r="I204" s="646"/>
      <c r="J204" s="646"/>
      <c r="K204" s="646"/>
      <c r="L204" s="646">
        <f t="shared" si="14"/>
        <v>0</v>
      </c>
      <c r="M204" s="663">
        <f t="shared" si="8"/>
        <v>0</v>
      </c>
      <c r="N204" s="672"/>
      <c r="O204" s="701">
        <f t="shared" si="12"/>
        <v>0</v>
      </c>
      <c r="P204" s="672"/>
      <c r="Q204" s="672"/>
      <c r="R204" s="672"/>
      <c r="S204" s="672"/>
      <c r="T204" s="672"/>
      <c r="XFC204" s="674">
        <f t="shared" si="11"/>
        <v>0</v>
      </c>
      <c r="XFD204" s="678">
        <f t="shared" si="13"/>
        <v>0</v>
      </c>
    </row>
    <row r="205" spans="1:20 16383:16384" s="674" customFormat="1" hidden="1" outlineLevel="1" x14ac:dyDescent="0.2">
      <c r="A205" s="291"/>
      <c r="B205" s="291"/>
      <c r="C205" s="637">
        <v>0</v>
      </c>
      <c r="D205" s="661"/>
      <c r="E205" s="644">
        <v>0</v>
      </c>
      <c r="F205" s="662"/>
      <c r="G205" s="662"/>
      <c r="H205" s="662"/>
      <c r="I205" s="646"/>
      <c r="J205" s="646"/>
      <c r="K205" s="646"/>
      <c r="L205" s="646">
        <f t="shared" si="14"/>
        <v>0</v>
      </c>
      <c r="M205" s="663">
        <f t="shared" si="8"/>
        <v>0</v>
      </c>
      <c r="N205" s="672"/>
      <c r="O205" s="701">
        <f t="shared" si="12"/>
        <v>0</v>
      </c>
      <c r="P205" s="672"/>
      <c r="Q205" s="672"/>
      <c r="R205" s="672"/>
      <c r="S205" s="672"/>
      <c r="T205" s="672"/>
      <c r="XFC205" s="674">
        <f t="shared" si="11"/>
        <v>0</v>
      </c>
      <c r="XFD205" s="678">
        <f t="shared" si="13"/>
        <v>0</v>
      </c>
    </row>
    <row r="206" spans="1:20 16383:16384" s="674" customFormat="1" hidden="1" outlineLevel="1" x14ac:dyDescent="0.2">
      <c r="A206" s="291"/>
      <c r="B206" s="291"/>
      <c r="C206" s="637">
        <v>0</v>
      </c>
      <c r="D206" s="661"/>
      <c r="E206" s="644">
        <v>0</v>
      </c>
      <c r="F206" s="662"/>
      <c r="G206" s="662"/>
      <c r="H206" s="662"/>
      <c r="I206" s="646"/>
      <c r="J206" s="646"/>
      <c r="K206" s="646"/>
      <c r="L206" s="646">
        <f t="shared" si="14"/>
        <v>0</v>
      </c>
      <c r="M206" s="663">
        <f t="shared" si="8"/>
        <v>0</v>
      </c>
      <c r="N206" s="672"/>
      <c r="O206" s="701">
        <f t="shared" si="12"/>
        <v>0</v>
      </c>
      <c r="P206" s="672"/>
      <c r="Q206" s="672"/>
      <c r="R206" s="672"/>
      <c r="S206" s="672"/>
      <c r="T206" s="672"/>
      <c r="XFC206" s="674">
        <f t="shared" si="11"/>
        <v>0</v>
      </c>
      <c r="XFD206" s="678">
        <f t="shared" si="13"/>
        <v>0</v>
      </c>
    </row>
    <row r="207" spans="1:20 16383:16384" s="674" customFormat="1" hidden="1" outlineLevel="1" x14ac:dyDescent="0.2">
      <c r="A207" s="291"/>
      <c r="B207" s="291"/>
      <c r="C207" s="637">
        <v>0</v>
      </c>
      <c r="D207" s="661"/>
      <c r="E207" s="644">
        <v>0</v>
      </c>
      <c r="F207" s="662"/>
      <c r="G207" s="662"/>
      <c r="H207" s="662"/>
      <c r="I207" s="646"/>
      <c r="J207" s="646"/>
      <c r="K207" s="646"/>
      <c r="L207" s="646">
        <f t="shared" si="14"/>
        <v>0</v>
      </c>
      <c r="M207" s="663">
        <f t="shared" si="8"/>
        <v>0</v>
      </c>
      <c r="N207" s="672"/>
      <c r="O207" s="701">
        <f t="shared" si="12"/>
        <v>0</v>
      </c>
      <c r="P207" s="672"/>
      <c r="Q207" s="672"/>
      <c r="R207" s="672"/>
      <c r="S207" s="672"/>
      <c r="T207" s="672"/>
      <c r="XFC207" s="674">
        <f t="shared" si="11"/>
        <v>0</v>
      </c>
      <c r="XFD207" s="678">
        <f t="shared" si="13"/>
        <v>0</v>
      </c>
    </row>
    <row r="208" spans="1:20 16383:16384" s="674" customFormat="1" hidden="1" outlineLevel="1" x14ac:dyDescent="0.2">
      <c r="A208" s="291"/>
      <c r="B208" s="291"/>
      <c r="C208" s="637">
        <v>0</v>
      </c>
      <c r="D208" s="661"/>
      <c r="E208" s="644">
        <v>0</v>
      </c>
      <c r="F208" s="662"/>
      <c r="G208" s="662"/>
      <c r="H208" s="662"/>
      <c r="I208" s="646"/>
      <c r="J208" s="646"/>
      <c r="K208" s="646"/>
      <c r="L208" s="646">
        <f t="shared" si="14"/>
        <v>0</v>
      </c>
      <c r="M208" s="663">
        <f t="shared" si="8"/>
        <v>0</v>
      </c>
      <c r="N208" s="672"/>
      <c r="O208" s="701">
        <f t="shared" si="12"/>
        <v>0</v>
      </c>
      <c r="P208" s="672"/>
      <c r="Q208" s="672"/>
      <c r="R208" s="672"/>
      <c r="S208" s="672"/>
      <c r="T208" s="672"/>
      <c r="XFC208" s="674">
        <f t="shared" si="11"/>
        <v>0</v>
      </c>
      <c r="XFD208" s="678">
        <f t="shared" si="13"/>
        <v>0</v>
      </c>
    </row>
    <row r="209" spans="1:20 16383:16384" s="674" customFormat="1" hidden="1" outlineLevel="1" x14ac:dyDescent="0.2">
      <c r="A209" s="291"/>
      <c r="B209" s="291"/>
      <c r="C209" s="637">
        <v>0</v>
      </c>
      <c r="D209" s="661"/>
      <c r="E209" s="644">
        <v>0</v>
      </c>
      <c r="F209" s="662"/>
      <c r="G209" s="662"/>
      <c r="H209" s="662"/>
      <c r="I209" s="646"/>
      <c r="J209" s="646"/>
      <c r="K209" s="646"/>
      <c r="L209" s="646">
        <f t="shared" si="14"/>
        <v>0</v>
      </c>
      <c r="M209" s="663">
        <f t="shared" si="8"/>
        <v>0</v>
      </c>
      <c r="N209" s="672"/>
      <c r="O209" s="701">
        <f t="shared" si="12"/>
        <v>0</v>
      </c>
      <c r="P209" s="672"/>
      <c r="Q209" s="672"/>
      <c r="R209" s="672"/>
      <c r="S209" s="672"/>
      <c r="T209" s="672"/>
      <c r="XFC209" s="674">
        <f t="shared" si="11"/>
        <v>0</v>
      </c>
      <c r="XFD209" s="678">
        <f t="shared" si="13"/>
        <v>0</v>
      </c>
    </row>
    <row r="210" spans="1:20 16383:16384" s="674" customFormat="1" hidden="1" outlineLevel="1" x14ac:dyDescent="0.2">
      <c r="A210" s="291"/>
      <c r="B210" s="291"/>
      <c r="C210" s="637">
        <v>0</v>
      </c>
      <c r="D210" s="661"/>
      <c r="E210" s="644">
        <v>0</v>
      </c>
      <c r="F210" s="662"/>
      <c r="G210" s="662"/>
      <c r="H210" s="662"/>
      <c r="I210" s="646"/>
      <c r="J210" s="646"/>
      <c r="K210" s="646"/>
      <c r="L210" s="646">
        <f t="shared" si="14"/>
        <v>0</v>
      </c>
      <c r="M210" s="663">
        <f t="shared" si="8"/>
        <v>0</v>
      </c>
      <c r="N210" s="672"/>
      <c r="O210" s="701">
        <f t="shared" si="12"/>
        <v>0</v>
      </c>
      <c r="P210" s="672"/>
      <c r="Q210" s="672"/>
      <c r="R210" s="672"/>
      <c r="S210" s="672"/>
      <c r="T210" s="672"/>
      <c r="XFC210" s="674">
        <f t="shared" si="11"/>
        <v>0</v>
      </c>
      <c r="XFD210" s="678">
        <f t="shared" si="13"/>
        <v>0</v>
      </c>
    </row>
    <row r="211" spans="1:20 16383:16384" s="674" customFormat="1" hidden="1" outlineLevel="1" x14ac:dyDescent="0.2">
      <c r="A211" s="291"/>
      <c r="B211" s="291"/>
      <c r="C211" s="637">
        <v>0</v>
      </c>
      <c r="D211" s="661"/>
      <c r="E211" s="644">
        <v>0</v>
      </c>
      <c r="F211" s="662"/>
      <c r="G211" s="662"/>
      <c r="H211" s="662"/>
      <c r="I211" s="646"/>
      <c r="J211" s="646"/>
      <c r="K211" s="646"/>
      <c r="L211" s="646">
        <f t="shared" si="14"/>
        <v>0</v>
      </c>
      <c r="M211" s="663">
        <f t="shared" si="8"/>
        <v>0</v>
      </c>
      <c r="N211" s="672"/>
      <c r="O211" s="701">
        <f t="shared" si="12"/>
        <v>0</v>
      </c>
      <c r="P211" s="672"/>
      <c r="Q211" s="672"/>
      <c r="R211" s="672"/>
      <c r="S211" s="672"/>
      <c r="T211" s="672"/>
      <c r="XFC211" s="674">
        <f t="shared" ref="XFC211:XFC274" si="15">IF(AND(K211&gt;0,L211=""),1,0)</f>
        <v>0</v>
      </c>
      <c r="XFD211" s="678">
        <f t="shared" si="13"/>
        <v>0</v>
      </c>
    </row>
    <row r="212" spans="1:20 16383:16384" s="674" customFormat="1" hidden="1" outlineLevel="1" x14ac:dyDescent="0.2">
      <c r="A212" s="291"/>
      <c r="B212" s="291"/>
      <c r="C212" s="637">
        <v>0</v>
      </c>
      <c r="D212" s="661"/>
      <c r="E212" s="644">
        <v>0</v>
      </c>
      <c r="F212" s="662"/>
      <c r="G212" s="662"/>
      <c r="H212" s="662"/>
      <c r="I212" s="646"/>
      <c r="J212" s="646"/>
      <c r="K212" s="646"/>
      <c r="L212" s="646">
        <f t="shared" si="14"/>
        <v>0</v>
      </c>
      <c r="M212" s="663">
        <f t="shared" si="8"/>
        <v>0</v>
      </c>
      <c r="N212" s="672"/>
      <c r="O212" s="701">
        <f t="shared" ref="O212:O275" si="16">IFERROR((+K212/I212),0)</f>
        <v>0</v>
      </c>
      <c r="P212" s="672"/>
      <c r="Q212" s="672"/>
      <c r="R212" s="672"/>
      <c r="S212" s="672"/>
      <c r="T212" s="672"/>
      <c r="XFC212" s="674">
        <f t="shared" si="15"/>
        <v>0</v>
      </c>
      <c r="XFD212" s="678">
        <f t="shared" ref="XFD212:XFD275" si="17">+K212</f>
        <v>0</v>
      </c>
    </row>
    <row r="213" spans="1:20 16383:16384" s="674" customFormat="1" hidden="1" outlineLevel="1" x14ac:dyDescent="0.2">
      <c r="A213" s="291"/>
      <c r="B213" s="291"/>
      <c r="C213" s="637">
        <v>0</v>
      </c>
      <c r="D213" s="661"/>
      <c r="E213" s="644">
        <v>0</v>
      </c>
      <c r="F213" s="662"/>
      <c r="G213" s="662"/>
      <c r="H213" s="662"/>
      <c r="I213" s="646"/>
      <c r="J213" s="646"/>
      <c r="K213" s="646"/>
      <c r="L213" s="646">
        <f t="shared" si="14"/>
        <v>0</v>
      </c>
      <c r="M213" s="663">
        <f t="shared" si="8"/>
        <v>0</v>
      </c>
      <c r="N213" s="672"/>
      <c r="O213" s="701">
        <f t="shared" si="16"/>
        <v>0</v>
      </c>
      <c r="P213" s="672"/>
      <c r="Q213" s="672"/>
      <c r="R213" s="672"/>
      <c r="S213" s="672"/>
      <c r="T213" s="672"/>
      <c r="XFC213" s="674">
        <f t="shared" si="15"/>
        <v>0</v>
      </c>
      <c r="XFD213" s="678">
        <f t="shared" si="17"/>
        <v>0</v>
      </c>
    </row>
    <row r="214" spans="1:20 16383:16384" s="674" customFormat="1" hidden="1" outlineLevel="1" x14ac:dyDescent="0.2">
      <c r="A214" s="291"/>
      <c r="B214" s="291"/>
      <c r="C214" s="637">
        <v>0</v>
      </c>
      <c r="D214" s="661"/>
      <c r="E214" s="644">
        <v>0</v>
      </c>
      <c r="F214" s="662"/>
      <c r="G214" s="662"/>
      <c r="H214" s="662"/>
      <c r="I214" s="646"/>
      <c r="J214" s="646"/>
      <c r="K214" s="646"/>
      <c r="L214" s="646">
        <f t="shared" si="14"/>
        <v>0</v>
      </c>
      <c r="M214" s="663">
        <f t="shared" si="8"/>
        <v>0</v>
      </c>
      <c r="N214" s="672"/>
      <c r="O214" s="701">
        <f t="shared" si="16"/>
        <v>0</v>
      </c>
      <c r="P214" s="672"/>
      <c r="Q214" s="672"/>
      <c r="R214" s="672"/>
      <c r="S214" s="672"/>
      <c r="T214" s="672"/>
      <c r="XFC214" s="674">
        <f t="shared" si="15"/>
        <v>0</v>
      </c>
      <c r="XFD214" s="678">
        <f t="shared" si="17"/>
        <v>0</v>
      </c>
    </row>
    <row r="215" spans="1:20 16383:16384" s="674" customFormat="1" hidden="1" outlineLevel="1" x14ac:dyDescent="0.2">
      <c r="A215" s="291"/>
      <c r="B215" s="291"/>
      <c r="C215" s="637">
        <v>0</v>
      </c>
      <c r="D215" s="661"/>
      <c r="E215" s="644">
        <v>0</v>
      </c>
      <c r="F215" s="662"/>
      <c r="G215" s="662"/>
      <c r="H215" s="662"/>
      <c r="I215" s="646"/>
      <c r="J215" s="646"/>
      <c r="K215" s="646"/>
      <c r="L215" s="646">
        <f t="shared" si="14"/>
        <v>0</v>
      </c>
      <c r="M215" s="663">
        <f t="shared" si="8"/>
        <v>0</v>
      </c>
      <c r="N215" s="672"/>
      <c r="O215" s="701">
        <f t="shared" si="16"/>
        <v>0</v>
      </c>
      <c r="P215" s="672"/>
      <c r="Q215" s="672"/>
      <c r="R215" s="672"/>
      <c r="S215" s="672"/>
      <c r="T215" s="672"/>
      <c r="XFC215" s="674">
        <f t="shared" si="15"/>
        <v>0</v>
      </c>
      <c r="XFD215" s="678">
        <f t="shared" si="17"/>
        <v>0</v>
      </c>
    </row>
    <row r="216" spans="1:20 16383:16384" s="674" customFormat="1" hidden="1" outlineLevel="1" x14ac:dyDescent="0.2">
      <c r="A216" s="291"/>
      <c r="B216" s="291"/>
      <c r="C216" s="637">
        <v>0</v>
      </c>
      <c r="D216" s="661"/>
      <c r="E216" s="644">
        <v>0</v>
      </c>
      <c r="F216" s="662"/>
      <c r="G216" s="662"/>
      <c r="H216" s="662"/>
      <c r="I216" s="646"/>
      <c r="J216" s="646"/>
      <c r="K216" s="646"/>
      <c r="L216" s="646">
        <f t="shared" si="14"/>
        <v>0</v>
      </c>
      <c r="M216" s="663">
        <f t="shared" si="8"/>
        <v>0</v>
      </c>
      <c r="N216" s="672"/>
      <c r="O216" s="701">
        <f t="shared" si="16"/>
        <v>0</v>
      </c>
      <c r="P216" s="672"/>
      <c r="Q216" s="672"/>
      <c r="R216" s="672"/>
      <c r="S216" s="672"/>
      <c r="T216" s="672"/>
      <c r="XFC216" s="674">
        <f t="shared" si="15"/>
        <v>0</v>
      </c>
      <c r="XFD216" s="678">
        <f t="shared" si="17"/>
        <v>0</v>
      </c>
    </row>
    <row r="217" spans="1:20 16383:16384" s="674" customFormat="1" hidden="1" outlineLevel="1" x14ac:dyDescent="0.2">
      <c r="A217" s="291"/>
      <c r="B217" s="291"/>
      <c r="C217" s="637">
        <v>0</v>
      </c>
      <c r="D217" s="661"/>
      <c r="E217" s="644">
        <v>0</v>
      </c>
      <c r="F217" s="662"/>
      <c r="G217" s="662"/>
      <c r="H217" s="662"/>
      <c r="I217" s="646"/>
      <c r="J217" s="646"/>
      <c r="K217" s="646"/>
      <c r="L217" s="646">
        <f t="shared" si="14"/>
        <v>0</v>
      </c>
      <c r="M217" s="663">
        <f t="shared" si="8"/>
        <v>0</v>
      </c>
      <c r="N217" s="672"/>
      <c r="O217" s="701">
        <f t="shared" si="16"/>
        <v>0</v>
      </c>
      <c r="P217" s="672"/>
      <c r="Q217" s="672"/>
      <c r="R217" s="672"/>
      <c r="S217" s="672"/>
      <c r="T217" s="672"/>
      <c r="XFC217" s="674">
        <f t="shared" si="15"/>
        <v>0</v>
      </c>
      <c r="XFD217" s="678">
        <f t="shared" si="17"/>
        <v>0</v>
      </c>
    </row>
    <row r="218" spans="1:20 16383:16384" s="674" customFormat="1" hidden="1" outlineLevel="1" x14ac:dyDescent="0.2">
      <c r="A218" s="291"/>
      <c r="B218" s="291"/>
      <c r="C218" s="637">
        <v>0</v>
      </c>
      <c r="D218" s="661"/>
      <c r="E218" s="644">
        <v>0</v>
      </c>
      <c r="F218" s="662"/>
      <c r="G218" s="662"/>
      <c r="H218" s="662"/>
      <c r="I218" s="646"/>
      <c r="J218" s="646"/>
      <c r="K218" s="646"/>
      <c r="L218" s="646">
        <f t="shared" si="14"/>
        <v>0</v>
      </c>
      <c r="M218" s="663">
        <f t="shared" si="8"/>
        <v>0</v>
      </c>
      <c r="N218" s="672"/>
      <c r="O218" s="701">
        <f t="shared" si="16"/>
        <v>0</v>
      </c>
      <c r="P218" s="672"/>
      <c r="Q218" s="672"/>
      <c r="R218" s="672"/>
      <c r="S218" s="672"/>
      <c r="T218" s="672"/>
      <c r="XFC218" s="674">
        <f t="shared" si="15"/>
        <v>0</v>
      </c>
      <c r="XFD218" s="678">
        <f t="shared" si="17"/>
        <v>0</v>
      </c>
    </row>
    <row r="219" spans="1:20 16383:16384" s="674" customFormat="1" hidden="1" outlineLevel="1" x14ac:dyDescent="0.2">
      <c r="A219" s="291"/>
      <c r="B219" s="291"/>
      <c r="C219" s="637">
        <v>0</v>
      </c>
      <c r="D219" s="661"/>
      <c r="E219" s="644">
        <v>0</v>
      </c>
      <c r="F219" s="662"/>
      <c r="G219" s="662"/>
      <c r="H219" s="662"/>
      <c r="I219" s="646"/>
      <c r="J219" s="646"/>
      <c r="K219" s="646"/>
      <c r="L219" s="646">
        <f t="shared" si="14"/>
        <v>0</v>
      </c>
      <c r="M219" s="663">
        <f t="shared" si="8"/>
        <v>0</v>
      </c>
      <c r="N219" s="672"/>
      <c r="O219" s="701">
        <f t="shared" si="16"/>
        <v>0</v>
      </c>
      <c r="P219" s="672"/>
      <c r="Q219" s="672"/>
      <c r="R219" s="672"/>
      <c r="S219" s="672"/>
      <c r="T219" s="672"/>
      <c r="XFC219" s="674">
        <f t="shared" si="15"/>
        <v>0</v>
      </c>
      <c r="XFD219" s="678">
        <f t="shared" si="17"/>
        <v>0</v>
      </c>
    </row>
    <row r="220" spans="1:20 16383:16384" s="674" customFormat="1" hidden="1" outlineLevel="1" x14ac:dyDescent="0.2">
      <c r="A220" s="291"/>
      <c r="B220" s="291"/>
      <c r="C220" s="637">
        <v>0</v>
      </c>
      <c r="D220" s="661"/>
      <c r="E220" s="644">
        <v>0</v>
      </c>
      <c r="F220" s="662"/>
      <c r="G220" s="662"/>
      <c r="H220" s="662"/>
      <c r="I220" s="646"/>
      <c r="J220" s="646"/>
      <c r="K220" s="646"/>
      <c r="L220" s="646">
        <f t="shared" si="14"/>
        <v>0</v>
      </c>
      <c r="M220" s="663">
        <f t="shared" si="8"/>
        <v>0</v>
      </c>
      <c r="N220" s="672"/>
      <c r="O220" s="701">
        <f t="shared" si="16"/>
        <v>0</v>
      </c>
      <c r="P220" s="672"/>
      <c r="Q220" s="672"/>
      <c r="R220" s="672"/>
      <c r="S220" s="672"/>
      <c r="T220" s="672"/>
      <c r="XFC220" s="674">
        <f t="shared" si="15"/>
        <v>0</v>
      </c>
      <c r="XFD220" s="678">
        <f t="shared" si="17"/>
        <v>0</v>
      </c>
    </row>
    <row r="221" spans="1:20 16383:16384" s="674" customFormat="1" hidden="1" outlineLevel="1" x14ac:dyDescent="0.2">
      <c r="A221" s="291"/>
      <c r="B221" s="291"/>
      <c r="C221" s="637">
        <v>0</v>
      </c>
      <c r="D221" s="661"/>
      <c r="E221" s="644">
        <v>0</v>
      </c>
      <c r="F221" s="662"/>
      <c r="G221" s="662"/>
      <c r="H221" s="662"/>
      <c r="I221" s="646"/>
      <c r="J221" s="646"/>
      <c r="K221" s="646"/>
      <c r="L221" s="646">
        <f t="shared" si="14"/>
        <v>0</v>
      </c>
      <c r="M221" s="663">
        <f t="shared" si="8"/>
        <v>0</v>
      </c>
      <c r="N221" s="672"/>
      <c r="O221" s="701">
        <f t="shared" si="16"/>
        <v>0</v>
      </c>
      <c r="P221" s="672"/>
      <c r="Q221" s="672"/>
      <c r="R221" s="672"/>
      <c r="S221" s="672"/>
      <c r="T221" s="672"/>
      <c r="XFC221" s="674">
        <f t="shared" si="15"/>
        <v>0</v>
      </c>
      <c r="XFD221" s="678">
        <f t="shared" si="17"/>
        <v>0</v>
      </c>
    </row>
    <row r="222" spans="1:20 16383:16384" s="674" customFormat="1" hidden="1" outlineLevel="1" x14ac:dyDescent="0.2">
      <c r="A222" s="291"/>
      <c r="B222" s="291"/>
      <c r="C222" s="637">
        <v>0</v>
      </c>
      <c r="D222" s="661"/>
      <c r="E222" s="644">
        <v>0</v>
      </c>
      <c r="F222" s="662"/>
      <c r="G222" s="662"/>
      <c r="H222" s="662"/>
      <c r="I222" s="646"/>
      <c r="J222" s="646"/>
      <c r="K222" s="646"/>
      <c r="L222" s="646">
        <f t="shared" si="14"/>
        <v>0</v>
      </c>
      <c r="M222" s="663">
        <f t="shared" si="8"/>
        <v>0</v>
      </c>
      <c r="N222" s="672"/>
      <c r="O222" s="701">
        <f t="shared" si="16"/>
        <v>0</v>
      </c>
      <c r="P222" s="672"/>
      <c r="Q222" s="672"/>
      <c r="R222" s="672"/>
      <c r="S222" s="672"/>
      <c r="T222" s="672"/>
      <c r="XFC222" s="674">
        <f t="shared" si="15"/>
        <v>0</v>
      </c>
      <c r="XFD222" s="678">
        <f t="shared" si="17"/>
        <v>0</v>
      </c>
    </row>
    <row r="223" spans="1:20 16383:16384" s="674" customFormat="1" hidden="1" outlineLevel="1" x14ac:dyDescent="0.2">
      <c r="A223" s="291"/>
      <c r="B223" s="291"/>
      <c r="C223" s="637">
        <v>0</v>
      </c>
      <c r="D223" s="661"/>
      <c r="E223" s="644">
        <v>0</v>
      </c>
      <c r="F223" s="662"/>
      <c r="G223" s="662"/>
      <c r="H223" s="662"/>
      <c r="I223" s="646"/>
      <c r="J223" s="646"/>
      <c r="K223" s="646"/>
      <c r="L223" s="646">
        <f t="shared" si="14"/>
        <v>0</v>
      </c>
      <c r="M223" s="663">
        <f t="shared" si="8"/>
        <v>0</v>
      </c>
      <c r="N223" s="672"/>
      <c r="O223" s="701">
        <f t="shared" si="16"/>
        <v>0</v>
      </c>
      <c r="P223" s="672"/>
      <c r="Q223" s="672"/>
      <c r="R223" s="672"/>
      <c r="S223" s="672"/>
      <c r="T223" s="672"/>
      <c r="XFC223" s="674">
        <f t="shared" si="15"/>
        <v>0</v>
      </c>
      <c r="XFD223" s="678">
        <f t="shared" si="17"/>
        <v>0</v>
      </c>
    </row>
    <row r="224" spans="1:20 16383:16384" s="674" customFormat="1" hidden="1" outlineLevel="1" x14ac:dyDescent="0.2">
      <c r="A224" s="291"/>
      <c r="B224" s="291"/>
      <c r="C224" s="637">
        <v>0</v>
      </c>
      <c r="D224" s="661"/>
      <c r="E224" s="644">
        <v>0</v>
      </c>
      <c r="F224" s="662"/>
      <c r="G224" s="662"/>
      <c r="H224" s="662"/>
      <c r="I224" s="646"/>
      <c r="J224" s="646"/>
      <c r="K224" s="646"/>
      <c r="L224" s="646">
        <f t="shared" si="14"/>
        <v>0</v>
      </c>
      <c r="M224" s="663">
        <f t="shared" si="8"/>
        <v>0</v>
      </c>
      <c r="N224" s="672"/>
      <c r="O224" s="701">
        <f t="shared" si="16"/>
        <v>0</v>
      </c>
      <c r="P224" s="672"/>
      <c r="Q224" s="672"/>
      <c r="R224" s="672"/>
      <c r="S224" s="672"/>
      <c r="T224" s="672"/>
      <c r="XFC224" s="674">
        <f t="shared" si="15"/>
        <v>0</v>
      </c>
      <c r="XFD224" s="678">
        <f t="shared" si="17"/>
        <v>0</v>
      </c>
    </row>
    <row r="225" spans="1:20 16383:16384" s="674" customFormat="1" hidden="1" outlineLevel="1" x14ac:dyDescent="0.2">
      <c r="A225" s="291"/>
      <c r="B225" s="291"/>
      <c r="C225" s="637">
        <v>0</v>
      </c>
      <c r="D225" s="661"/>
      <c r="E225" s="644">
        <v>0</v>
      </c>
      <c r="F225" s="662"/>
      <c r="G225" s="662"/>
      <c r="H225" s="662"/>
      <c r="I225" s="646"/>
      <c r="J225" s="646"/>
      <c r="K225" s="646"/>
      <c r="L225" s="646">
        <f t="shared" si="14"/>
        <v>0</v>
      </c>
      <c r="M225" s="663">
        <f t="shared" si="8"/>
        <v>0</v>
      </c>
      <c r="N225" s="672"/>
      <c r="O225" s="701">
        <f t="shared" si="16"/>
        <v>0</v>
      </c>
      <c r="P225" s="672"/>
      <c r="Q225" s="672"/>
      <c r="R225" s="672"/>
      <c r="S225" s="672"/>
      <c r="T225" s="672"/>
      <c r="XFC225" s="674">
        <f t="shared" si="15"/>
        <v>0</v>
      </c>
      <c r="XFD225" s="678">
        <f t="shared" si="17"/>
        <v>0</v>
      </c>
    </row>
    <row r="226" spans="1:20 16383:16384" s="674" customFormat="1" hidden="1" outlineLevel="1" x14ac:dyDescent="0.2">
      <c r="A226" s="291"/>
      <c r="B226" s="291"/>
      <c r="C226" s="637">
        <v>0</v>
      </c>
      <c r="D226" s="661"/>
      <c r="E226" s="644">
        <v>0</v>
      </c>
      <c r="F226" s="662"/>
      <c r="G226" s="662"/>
      <c r="H226" s="662"/>
      <c r="I226" s="646"/>
      <c r="J226" s="646"/>
      <c r="K226" s="646"/>
      <c r="L226" s="646">
        <f t="shared" si="14"/>
        <v>0</v>
      </c>
      <c r="M226" s="663">
        <f t="shared" si="8"/>
        <v>0</v>
      </c>
      <c r="N226" s="672"/>
      <c r="O226" s="701">
        <f t="shared" si="16"/>
        <v>0</v>
      </c>
      <c r="P226" s="672"/>
      <c r="Q226" s="672"/>
      <c r="R226" s="672"/>
      <c r="S226" s="672"/>
      <c r="T226" s="672"/>
      <c r="XFC226" s="674">
        <f t="shared" si="15"/>
        <v>0</v>
      </c>
      <c r="XFD226" s="678">
        <f t="shared" si="17"/>
        <v>0</v>
      </c>
    </row>
    <row r="227" spans="1:20 16383:16384" s="674" customFormat="1" hidden="1" outlineLevel="1" x14ac:dyDescent="0.2">
      <c r="A227" s="291"/>
      <c r="B227" s="291"/>
      <c r="C227" s="637">
        <v>0</v>
      </c>
      <c r="D227" s="661"/>
      <c r="E227" s="644">
        <v>0</v>
      </c>
      <c r="F227" s="662"/>
      <c r="G227" s="662"/>
      <c r="H227" s="662"/>
      <c r="I227" s="646"/>
      <c r="J227" s="646"/>
      <c r="K227" s="646"/>
      <c r="L227" s="646">
        <f t="shared" si="14"/>
        <v>0</v>
      </c>
      <c r="M227" s="663">
        <f t="shared" si="8"/>
        <v>0</v>
      </c>
      <c r="N227" s="672"/>
      <c r="O227" s="701">
        <f t="shared" si="16"/>
        <v>0</v>
      </c>
      <c r="P227" s="672"/>
      <c r="Q227" s="672"/>
      <c r="R227" s="672"/>
      <c r="S227" s="672"/>
      <c r="T227" s="672"/>
      <c r="XFC227" s="674">
        <f t="shared" si="15"/>
        <v>0</v>
      </c>
      <c r="XFD227" s="678">
        <f t="shared" si="17"/>
        <v>0</v>
      </c>
    </row>
    <row r="228" spans="1:20 16383:16384" s="674" customFormat="1" hidden="1" outlineLevel="1" x14ac:dyDescent="0.2">
      <c r="A228" s="291"/>
      <c r="B228" s="291"/>
      <c r="C228" s="637">
        <v>0</v>
      </c>
      <c r="D228" s="661"/>
      <c r="E228" s="644">
        <v>0</v>
      </c>
      <c r="F228" s="662"/>
      <c r="G228" s="662"/>
      <c r="H228" s="662"/>
      <c r="I228" s="646"/>
      <c r="J228" s="646"/>
      <c r="K228" s="646"/>
      <c r="L228" s="646">
        <f t="shared" si="14"/>
        <v>0</v>
      </c>
      <c r="M228" s="663">
        <f t="shared" si="8"/>
        <v>0</v>
      </c>
      <c r="N228" s="672"/>
      <c r="O228" s="701">
        <f t="shared" si="16"/>
        <v>0</v>
      </c>
      <c r="P228" s="672"/>
      <c r="Q228" s="672"/>
      <c r="R228" s="672"/>
      <c r="S228" s="672"/>
      <c r="T228" s="672"/>
      <c r="XFC228" s="674">
        <f t="shared" si="15"/>
        <v>0</v>
      </c>
      <c r="XFD228" s="678">
        <f t="shared" si="17"/>
        <v>0</v>
      </c>
    </row>
    <row r="229" spans="1:20 16383:16384" s="674" customFormat="1" hidden="1" outlineLevel="1" x14ac:dyDescent="0.2">
      <c r="A229" s="291"/>
      <c r="B229" s="291"/>
      <c r="C229" s="637">
        <v>0</v>
      </c>
      <c r="D229" s="661"/>
      <c r="E229" s="644">
        <v>0</v>
      </c>
      <c r="F229" s="662"/>
      <c r="G229" s="662"/>
      <c r="H229" s="662"/>
      <c r="I229" s="646"/>
      <c r="J229" s="646"/>
      <c r="K229" s="646"/>
      <c r="L229" s="646">
        <f t="shared" si="14"/>
        <v>0</v>
      </c>
      <c r="M229" s="663">
        <f t="shared" si="8"/>
        <v>0</v>
      </c>
      <c r="N229" s="672"/>
      <c r="O229" s="701">
        <f t="shared" si="16"/>
        <v>0</v>
      </c>
      <c r="P229" s="672"/>
      <c r="Q229" s="672"/>
      <c r="R229" s="672"/>
      <c r="S229" s="672"/>
      <c r="T229" s="672"/>
      <c r="XFC229" s="674">
        <f t="shared" si="15"/>
        <v>0</v>
      </c>
      <c r="XFD229" s="678">
        <f t="shared" si="17"/>
        <v>0</v>
      </c>
    </row>
    <row r="230" spans="1:20 16383:16384" s="674" customFormat="1" hidden="1" outlineLevel="1" x14ac:dyDescent="0.2">
      <c r="A230" s="291"/>
      <c r="B230" s="291"/>
      <c r="C230" s="637">
        <v>0</v>
      </c>
      <c r="D230" s="661"/>
      <c r="E230" s="644">
        <v>0</v>
      </c>
      <c r="F230" s="662"/>
      <c r="G230" s="662"/>
      <c r="H230" s="662"/>
      <c r="I230" s="646"/>
      <c r="J230" s="646"/>
      <c r="K230" s="646"/>
      <c r="L230" s="646">
        <f t="shared" si="14"/>
        <v>0</v>
      </c>
      <c r="M230" s="663">
        <f t="shared" si="8"/>
        <v>0</v>
      </c>
      <c r="N230" s="672"/>
      <c r="O230" s="701">
        <f t="shared" si="16"/>
        <v>0</v>
      </c>
      <c r="P230" s="672"/>
      <c r="Q230" s="672"/>
      <c r="R230" s="672"/>
      <c r="S230" s="672"/>
      <c r="T230" s="672"/>
      <c r="XFC230" s="674">
        <f t="shared" si="15"/>
        <v>0</v>
      </c>
      <c r="XFD230" s="678">
        <f t="shared" si="17"/>
        <v>0</v>
      </c>
    </row>
    <row r="231" spans="1:20 16383:16384" s="674" customFormat="1" hidden="1" outlineLevel="1" x14ac:dyDescent="0.2">
      <c r="A231" s="291"/>
      <c r="B231" s="291"/>
      <c r="C231" s="637">
        <v>0</v>
      </c>
      <c r="D231" s="661"/>
      <c r="E231" s="644">
        <v>0</v>
      </c>
      <c r="F231" s="662"/>
      <c r="G231" s="662"/>
      <c r="H231" s="662"/>
      <c r="I231" s="646"/>
      <c r="J231" s="646"/>
      <c r="K231" s="646"/>
      <c r="L231" s="646">
        <f t="shared" si="14"/>
        <v>0</v>
      </c>
      <c r="M231" s="663">
        <f t="shared" si="8"/>
        <v>0</v>
      </c>
      <c r="N231" s="672"/>
      <c r="O231" s="701">
        <f t="shared" si="16"/>
        <v>0</v>
      </c>
      <c r="P231" s="672"/>
      <c r="Q231" s="672"/>
      <c r="R231" s="672"/>
      <c r="S231" s="672"/>
      <c r="T231" s="672"/>
      <c r="XFC231" s="674">
        <f t="shared" si="15"/>
        <v>0</v>
      </c>
      <c r="XFD231" s="678">
        <f t="shared" si="17"/>
        <v>0</v>
      </c>
    </row>
    <row r="232" spans="1:20 16383:16384" s="674" customFormat="1" hidden="1" outlineLevel="1" x14ac:dyDescent="0.2">
      <c r="A232" s="291"/>
      <c r="B232" s="291"/>
      <c r="C232" s="637">
        <v>0</v>
      </c>
      <c r="D232" s="661"/>
      <c r="E232" s="644">
        <v>0</v>
      </c>
      <c r="F232" s="662"/>
      <c r="G232" s="662"/>
      <c r="H232" s="662"/>
      <c r="I232" s="646"/>
      <c r="J232" s="646"/>
      <c r="K232" s="646"/>
      <c r="L232" s="646">
        <f t="shared" si="14"/>
        <v>0</v>
      </c>
      <c r="M232" s="663">
        <f t="shared" si="8"/>
        <v>0</v>
      </c>
      <c r="N232" s="672"/>
      <c r="O232" s="701">
        <f t="shared" si="16"/>
        <v>0</v>
      </c>
      <c r="P232" s="672"/>
      <c r="Q232" s="672"/>
      <c r="R232" s="672"/>
      <c r="S232" s="672"/>
      <c r="T232" s="672"/>
      <c r="XFC232" s="674">
        <f t="shared" si="15"/>
        <v>0</v>
      </c>
      <c r="XFD232" s="678">
        <f t="shared" si="17"/>
        <v>0</v>
      </c>
    </row>
    <row r="233" spans="1:20 16383:16384" s="674" customFormat="1" hidden="1" outlineLevel="1" x14ac:dyDescent="0.2">
      <c r="A233" s="291"/>
      <c r="B233" s="291"/>
      <c r="C233" s="637">
        <v>0</v>
      </c>
      <c r="D233" s="661"/>
      <c r="E233" s="644">
        <v>0</v>
      </c>
      <c r="F233" s="662"/>
      <c r="G233" s="662"/>
      <c r="H233" s="662"/>
      <c r="I233" s="646"/>
      <c r="J233" s="646"/>
      <c r="K233" s="646"/>
      <c r="L233" s="646">
        <f t="shared" ref="L233:L296" si="18">IF(L232="","",L232)</f>
        <v>0</v>
      </c>
      <c r="M233" s="663">
        <f t="shared" si="8"/>
        <v>0</v>
      </c>
      <c r="N233" s="672"/>
      <c r="O233" s="701">
        <f t="shared" si="16"/>
        <v>0</v>
      </c>
      <c r="P233" s="672"/>
      <c r="Q233" s="672"/>
      <c r="R233" s="672"/>
      <c r="S233" s="672"/>
      <c r="T233" s="672"/>
      <c r="XFC233" s="674">
        <f t="shared" si="15"/>
        <v>0</v>
      </c>
      <c r="XFD233" s="678">
        <f t="shared" si="17"/>
        <v>0</v>
      </c>
    </row>
    <row r="234" spans="1:20 16383:16384" s="674" customFormat="1" hidden="1" outlineLevel="1" x14ac:dyDescent="0.2">
      <c r="A234" s="291"/>
      <c r="B234" s="291"/>
      <c r="C234" s="637">
        <v>0</v>
      </c>
      <c r="D234" s="661"/>
      <c r="E234" s="644">
        <v>0</v>
      </c>
      <c r="F234" s="662"/>
      <c r="G234" s="662"/>
      <c r="H234" s="662"/>
      <c r="I234" s="646"/>
      <c r="J234" s="646"/>
      <c r="K234" s="646"/>
      <c r="L234" s="646">
        <f t="shared" si="18"/>
        <v>0</v>
      </c>
      <c r="M234" s="663">
        <f t="shared" si="8"/>
        <v>0</v>
      </c>
      <c r="N234" s="672"/>
      <c r="O234" s="701">
        <f t="shared" si="16"/>
        <v>0</v>
      </c>
      <c r="P234" s="672"/>
      <c r="Q234" s="672"/>
      <c r="R234" s="672"/>
      <c r="S234" s="672"/>
      <c r="T234" s="672"/>
      <c r="XFC234" s="674">
        <f t="shared" si="15"/>
        <v>0</v>
      </c>
      <c r="XFD234" s="678">
        <f t="shared" si="17"/>
        <v>0</v>
      </c>
    </row>
    <row r="235" spans="1:20 16383:16384" s="674" customFormat="1" hidden="1" outlineLevel="1" x14ac:dyDescent="0.2">
      <c r="A235" s="291"/>
      <c r="B235" s="291"/>
      <c r="C235" s="637">
        <v>0</v>
      </c>
      <c r="D235" s="661"/>
      <c r="E235" s="644">
        <v>0</v>
      </c>
      <c r="F235" s="662"/>
      <c r="G235" s="662"/>
      <c r="H235" s="662"/>
      <c r="I235" s="646"/>
      <c r="J235" s="646"/>
      <c r="K235" s="646"/>
      <c r="L235" s="646">
        <f t="shared" si="18"/>
        <v>0</v>
      </c>
      <c r="M235" s="663">
        <f t="shared" si="8"/>
        <v>0</v>
      </c>
      <c r="N235" s="672"/>
      <c r="O235" s="701">
        <f t="shared" si="16"/>
        <v>0</v>
      </c>
      <c r="P235" s="672"/>
      <c r="Q235" s="672"/>
      <c r="R235" s="672"/>
      <c r="S235" s="672"/>
      <c r="T235" s="672"/>
      <c r="XFC235" s="674">
        <f t="shared" si="15"/>
        <v>0</v>
      </c>
      <c r="XFD235" s="678">
        <f t="shared" si="17"/>
        <v>0</v>
      </c>
    </row>
    <row r="236" spans="1:20 16383:16384" s="674" customFormat="1" hidden="1" outlineLevel="1" x14ac:dyDescent="0.2">
      <c r="A236" s="291"/>
      <c r="B236" s="291"/>
      <c r="C236" s="637">
        <v>0</v>
      </c>
      <c r="D236" s="661"/>
      <c r="E236" s="644">
        <v>0</v>
      </c>
      <c r="F236" s="662"/>
      <c r="G236" s="662"/>
      <c r="H236" s="662"/>
      <c r="I236" s="646"/>
      <c r="J236" s="646"/>
      <c r="K236" s="646"/>
      <c r="L236" s="646">
        <f t="shared" si="18"/>
        <v>0</v>
      </c>
      <c r="M236" s="663">
        <f t="shared" si="8"/>
        <v>0</v>
      </c>
      <c r="N236" s="672"/>
      <c r="O236" s="701">
        <f t="shared" si="16"/>
        <v>0</v>
      </c>
      <c r="P236" s="672"/>
      <c r="Q236" s="672"/>
      <c r="R236" s="672"/>
      <c r="S236" s="672"/>
      <c r="T236" s="672"/>
      <c r="XFC236" s="674">
        <f t="shared" si="15"/>
        <v>0</v>
      </c>
      <c r="XFD236" s="678">
        <f t="shared" si="17"/>
        <v>0</v>
      </c>
    </row>
    <row r="237" spans="1:20 16383:16384" s="674" customFormat="1" hidden="1" outlineLevel="1" x14ac:dyDescent="0.2">
      <c r="A237" s="291"/>
      <c r="B237" s="291"/>
      <c r="C237" s="637">
        <v>0</v>
      </c>
      <c r="D237" s="661"/>
      <c r="E237" s="644">
        <v>0</v>
      </c>
      <c r="F237" s="662"/>
      <c r="G237" s="662"/>
      <c r="H237" s="662"/>
      <c r="I237" s="646"/>
      <c r="J237" s="646"/>
      <c r="K237" s="646"/>
      <c r="L237" s="646">
        <f t="shared" si="18"/>
        <v>0</v>
      </c>
      <c r="M237" s="663">
        <f t="shared" si="8"/>
        <v>0</v>
      </c>
      <c r="N237" s="672"/>
      <c r="O237" s="701">
        <f t="shared" si="16"/>
        <v>0</v>
      </c>
      <c r="P237" s="672"/>
      <c r="Q237" s="672"/>
      <c r="R237" s="672"/>
      <c r="S237" s="672"/>
      <c r="T237" s="672"/>
      <c r="XFC237" s="674">
        <f t="shared" si="15"/>
        <v>0</v>
      </c>
      <c r="XFD237" s="678">
        <f t="shared" si="17"/>
        <v>0</v>
      </c>
    </row>
    <row r="238" spans="1:20 16383:16384" s="674" customFormat="1" hidden="1" outlineLevel="1" x14ac:dyDescent="0.2">
      <c r="A238" s="291"/>
      <c r="B238" s="291"/>
      <c r="C238" s="637">
        <v>0</v>
      </c>
      <c r="D238" s="661"/>
      <c r="E238" s="644">
        <v>0</v>
      </c>
      <c r="F238" s="662"/>
      <c r="G238" s="662"/>
      <c r="H238" s="662"/>
      <c r="I238" s="646"/>
      <c r="J238" s="646"/>
      <c r="K238" s="646"/>
      <c r="L238" s="646">
        <f t="shared" si="18"/>
        <v>0</v>
      </c>
      <c r="M238" s="663">
        <f t="shared" si="8"/>
        <v>0</v>
      </c>
      <c r="N238" s="672"/>
      <c r="O238" s="701">
        <f t="shared" si="16"/>
        <v>0</v>
      </c>
      <c r="P238" s="672"/>
      <c r="Q238" s="672"/>
      <c r="R238" s="672"/>
      <c r="S238" s="672"/>
      <c r="T238" s="672"/>
      <c r="XFC238" s="674">
        <f t="shared" si="15"/>
        <v>0</v>
      </c>
      <c r="XFD238" s="678">
        <f t="shared" si="17"/>
        <v>0</v>
      </c>
    </row>
    <row r="239" spans="1:20 16383:16384" s="674" customFormat="1" hidden="1" outlineLevel="1" x14ac:dyDescent="0.2">
      <c r="A239" s="291"/>
      <c r="B239" s="291"/>
      <c r="C239" s="637">
        <v>0</v>
      </c>
      <c r="D239" s="661"/>
      <c r="E239" s="644">
        <v>0</v>
      </c>
      <c r="F239" s="662"/>
      <c r="G239" s="662"/>
      <c r="H239" s="662"/>
      <c r="I239" s="646"/>
      <c r="J239" s="646"/>
      <c r="K239" s="646"/>
      <c r="L239" s="646">
        <f t="shared" si="18"/>
        <v>0</v>
      </c>
      <c r="M239" s="663">
        <f t="shared" si="8"/>
        <v>0</v>
      </c>
      <c r="N239" s="672"/>
      <c r="O239" s="701">
        <f t="shared" si="16"/>
        <v>0</v>
      </c>
      <c r="P239" s="672"/>
      <c r="Q239" s="672"/>
      <c r="R239" s="672"/>
      <c r="S239" s="672"/>
      <c r="T239" s="672"/>
      <c r="XFC239" s="674">
        <f t="shared" si="15"/>
        <v>0</v>
      </c>
      <c r="XFD239" s="678">
        <f t="shared" si="17"/>
        <v>0</v>
      </c>
    </row>
    <row r="240" spans="1:20 16383:16384" s="674" customFormat="1" hidden="1" outlineLevel="1" x14ac:dyDescent="0.2">
      <c r="A240" s="291"/>
      <c r="B240" s="291"/>
      <c r="C240" s="637">
        <v>0</v>
      </c>
      <c r="D240" s="661"/>
      <c r="E240" s="644">
        <v>0</v>
      </c>
      <c r="F240" s="662"/>
      <c r="G240" s="662"/>
      <c r="H240" s="662"/>
      <c r="I240" s="646"/>
      <c r="J240" s="646"/>
      <c r="K240" s="646"/>
      <c r="L240" s="646">
        <f t="shared" si="18"/>
        <v>0</v>
      </c>
      <c r="M240" s="663">
        <f t="shared" si="8"/>
        <v>0</v>
      </c>
      <c r="N240" s="672"/>
      <c r="O240" s="701">
        <f t="shared" si="16"/>
        <v>0</v>
      </c>
      <c r="P240" s="672"/>
      <c r="Q240" s="672"/>
      <c r="R240" s="672"/>
      <c r="S240" s="672"/>
      <c r="T240" s="672"/>
      <c r="XFC240" s="674">
        <f t="shared" si="15"/>
        <v>0</v>
      </c>
      <c r="XFD240" s="678">
        <f t="shared" si="17"/>
        <v>0</v>
      </c>
    </row>
    <row r="241" spans="1:20 16383:16384" s="674" customFormat="1" hidden="1" outlineLevel="1" x14ac:dyDescent="0.2">
      <c r="A241" s="291"/>
      <c r="B241" s="291"/>
      <c r="C241" s="637">
        <v>0</v>
      </c>
      <c r="D241" s="661"/>
      <c r="E241" s="644">
        <v>0</v>
      </c>
      <c r="F241" s="662"/>
      <c r="G241" s="662"/>
      <c r="H241" s="662"/>
      <c r="I241" s="646"/>
      <c r="J241" s="646"/>
      <c r="K241" s="646"/>
      <c r="L241" s="646">
        <f t="shared" si="18"/>
        <v>0</v>
      </c>
      <c r="M241" s="663">
        <f t="shared" si="8"/>
        <v>0</v>
      </c>
      <c r="N241" s="672"/>
      <c r="O241" s="701">
        <f t="shared" si="16"/>
        <v>0</v>
      </c>
      <c r="P241" s="672"/>
      <c r="Q241" s="672"/>
      <c r="R241" s="672"/>
      <c r="S241" s="672"/>
      <c r="T241" s="672"/>
      <c r="XFC241" s="674">
        <f t="shared" si="15"/>
        <v>0</v>
      </c>
      <c r="XFD241" s="678">
        <f t="shared" si="17"/>
        <v>0</v>
      </c>
    </row>
    <row r="242" spans="1:20 16383:16384" s="674" customFormat="1" hidden="1" outlineLevel="1" x14ac:dyDescent="0.2">
      <c r="A242" s="291"/>
      <c r="B242" s="291"/>
      <c r="C242" s="637">
        <v>0</v>
      </c>
      <c r="D242" s="661"/>
      <c r="E242" s="644">
        <v>0</v>
      </c>
      <c r="F242" s="662"/>
      <c r="G242" s="662"/>
      <c r="H242" s="662"/>
      <c r="I242" s="646"/>
      <c r="J242" s="646"/>
      <c r="K242" s="646"/>
      <c r="L242" s="646">
        <f t="shared" si="18"/>
        <v>0</v>
      </c>
      <c r="M242" s="663">
        <f t="shared" si="8"/>
        <v>0</v>
      </c>
      <c r="N242" s="672"/>
      <c r="O242" s="701">
        <f t="shared" si="16"/>
        <v>0</v>
      </c>
      <c r="P242" s="672"/>
      <c r="Q242" s="672"/>
      <c r="R242" s="672"/>
      <c r="S242" s="672"/>
      <c r="T242" s="672"/>
      <c r="XFC242" s="674">
        <f t="shared" si="15"/>
        <v>0</v>
      </c>
      <c r="XFD242" s="678">
        <f t="shared" si="17"/>
        <v>0</v>
      </c>
    </row>
    <row r="243" spans="1:20 16383:16384" s="674" customFormat="1" hidden="1" outlineLevel="1" x14ac:dyDescent="0.2">
      <c r="A243" s="291"/>
      <c r="B243" s="291"/>
      <c r="C243" s="637">
        <v>0</v>
      </c>
      <c r="D243" s="661"/>
      <c r="E243" s="644">
        <v>0</v>
      </c>
      <c r="F243" s="662"/>
      <c r="G243" s="662"/>
      <c r="H243" s="662"/>
      <c r="I243" s="646"/>
      <c r="J243" s="646"/>
      <c r="K243" s="646"/>
      <c r="L243" s="646">
        <f t="shared" si="18"/>
        <v>0</v>
      </c>
      <c r="M243" s="663">
        <f t="shared" si="8"/>
        <v>0</v>
      </c>
      <c r="N243" s="672"/>
      <c r="O243" s="701">
        <f t="shared" si="16"/>
        <v>0</v>
      </c>
      <c r="P243" s="672"/>
      <c r="Q243" s="672"/>
      <c r="R243" s="672"/>
      <c r="S243" s="672"/>
      <c r="T243" s="672"/>
      <c r="XFC243" s="674">
        <f t="shared" si="15"/>
        <v>0</v>
      </c>
      <c r="XFD243" s="678">
        <f t="shared" si="17"/>
        <v>0</v>
      </c>
    </row>
    <row r="244" spans="1:20 16383:16384" s="674" customFormat="1" hidden="1" outlineLevel="1" x14ac:dyDescent="0.2">
      <c r="A244" s="291"/>
      <c r="B244" s="291"/>
      <c r="C244" s="637">
        <v>0</v>
      </c>
      <c r="D244" s="661"/>
      <c r="E244" s="644">
        <v>0</v>
      </c>
      <c r="F244" s="662"/>
      <c r="G244" s="662"/>
      <c r="H244" s="662"/>
      <c r="I244" s="646"/>
      <c r="J244" s="646"/>
      <c r="K244" s="646"/>
      <c r="L244" s="646">
        <f t="shared" si="18"/>
        <v>0</v>
      </c>
      <c r="M244" s="663">
        <f t="shared" si="8"/>
        <v>0</v>
      </c>
      <c r="N244" s="672"/>
      <c r="O244" s="701">
        <f t="shared" si="16"/>
        <v>0</v>
      </c>
      <c r="P244" s="672"/>
      <c r="Q244" s="672"/>
      <c r="R244" s="672"/>
      <c r="S244" s="672"/>
      <c r="T244" s="672"/>
      <c r="XFC244" s="674">
        <f t="shared" si="15"/>
        <v>0</v>
      </c>
      <c r="XFD244" s="678">
        <f t="shared" si="17"/>
        <v>0</v>
      </c>
    </row>
    <row r="245" spans="1:20 16383:16384" s="674" customFormat="1" hidden="1" outlineLevel="1" x14ac:dyDescent="0.2">
      <c r="A245" s="291"/>
      <c r="B245" s="291"/>
      <c r="C245" s="637">
        <v>0</v>
      </c>
      <c r="D245" s="661"/>
      <c r="E245" s="644">
        <v>0</v>
      </c>
      <c r="F245" s="662"/>
      <c r="G245" s="662"/>
      <c r="H245" s="662"/>
      <c r="I245" s="646"/>
      <c r="J245" s="646"/>
      <c r="K245" s="646"/>
      <c r="L245" s="646">
        <f t="shared" si="18"/>
        <v>0</v>
      </c>
      <c r="M245" s="663">
        <f t="shared" si="8"/>
        <v>0</v>
      </c>
      <c r="N245" s="672"/>
      <c r="O245" s="701">
        <f t="shared" si="16"/>
        <v>0</v>
      </c>
      <c r="P245" s="672"/>
      <c r="Q245" s="672"/>
      <c r="R245" s="672"/>
      <c r="S245" s="672"/>
      <c r="T245" s="672"/>
      <c r="XFC245" s="674">
        <f t="shared" si="15"/>
        <v>0</v>
      </c>
      <c r="XFD245" s="678">
        <f t="shared" si="17"/>
        <v>0</v>
      </c>
    </row>
    <row r="246" spans="1:20 16383:16384" s="674" customFormat="1" hidden="1" outlineLevel="1" x14ac:dyDescent="0.2">
      <c r="A246" s="291"/>
      <c r="B246" s="291"/>
      <c r="C246" s="637">
        <v>0</v>
      </c>
      <c r="D246" s="661"/>
      <c r="E246" s="644">
        <v>0</v>
      </c>
      <c r="F246" s="662"/>
      <c r="G246" s="662"/>
      <c r="H246" s="662"/>
      <c r="I246" s="646"/>
      <c r="J246" s="646"/>
      <c r="K246" s="646"/>
      <c r="L246" s="646">
        <f t="shared" si="18"/>
        <v>0</v>
      </c>
      <c r="M246" s="663">
        <f t="shared" si="8"/>
        <v>0</v>
      </c>
      <c r="N246" s="672"/>
      <c r="O246" s="701">
        <f t="shared" si="16"/>
        <v>0</v>
      </c>
      <c r="P246" s="672"/>
      <c r="Q246" s="672"/>
      <c r="R246" s="672"/>
      <c r="S246" s="672"/>
      <c r="T246" s="672"/>
      <c r="XFC246" s="674">
        <f t="shared" si="15"/>
        <v>0</v>
      </c>
      <c r="XFD246" s="678">
        <f t="shared" si="17"/>
        <v>0</v>
      </c>
    </row>
    <row r="247" spans="1:20 16383:16384" s="674" customFormat="1" hidden="1" outlineLevel="1" x14ac:dyDescent="0.2">
      <c r="A247" s="291"/>
      <c r="B247" s="291"/>
      <c r="C247" s="637">
        <v>0</v>
      </c>
      <c r="D247" s="661"/>
      <c r="E247" s="644">
        <v>0</v>
      </c>
      <c r="F247" s="662"/>
      <c r="G247" s="662"/>
      <c r="H247" s="662"/>
      <c r="I247" s="646"/>
      <c r="J247" s="646"/>
      <c r="K247" s="646"/>
      <c r="L247" s="646">
        <f t="shared" si="18"/>
        <v>0</v>
      </c>
      <c r="M247" s="663">
        <f t="shared" si="8"/>
        <v>0</v>
      </c>
      <c r="N247" s="672"/>
      <c r="O247" s="701">
        <f t="shared" si="16"/>
        <v>0</v>
      </c>
      <c r="P247" s="672"/>
      <c r="Q247" s="672"/>
      <c r="R247" s="672"/>
      <c r="S247" s="672"/>
      <c r="T247" s="672"/>
      <c r="XFC247" s="674">
        <f t="shared" si="15"/>
        <v>0</v>
      </c>
      <c r="XFD247" s="678">
        <f t="shared" si="17"/>
        <v>0</v>
      </c>
    </row>
    <row r="248" spans="1:20 16383:16384" s="674" customFormat="1" hidden="1" outlineLevel="1" x14ac:dyDescent="0.2">
      <c r="A248" s="291"/>
      <c r="B248" s="291"/>
      <c r="C248" s="637">
        <v>0</v>
      </c>
      <c r="D248" s="661"/>
      <c r="E248" s="644">
        <v>0</v>
      </c>
      <c r="F248" s="662"/>
      <c r="G248" s="662"/>
      <c r="H248" s="662"/>
      <c r="I248" s="646"/>
      <c r="J248" s="646"/>
      <c r="K248" s="646"/>
      <c r="L248" s="646">
        <f t="shared" si="18"/>
        <v>0</v>
      </c>
      <c r="M248" s="663">
        <f t="shared" si="8"/>
        <v>0</v>
      </c>
      <c r="N248" s="672"/>
      <c r="O248" s="701">
        <f t="shared" si="16"/>
        <v>0</v>
      </c>
      <c r="P248" s="672"/>
      <c r="Q248" s="672"/>
      <c r="R248" s="672"/>
      <c r="S248" s="672"/>
      <c r="T248" s="672"/>
      <c r="XFC248" s="674">
        <f t="shared" si="15"/>
        <v>0</v>
      </c>
      <c r="XFD248" s="678">
        <f t="shared" si="17"/>
        <v>0</v>
      </c>
    </row>
    <row r="249" spans="1:20 16383:16384" s="674" customFormat="1" hidden="1" outlineLevel="1" x14ac:dyDescent="0.2">
      <c r="A249" s="291"/>
      <c r="B249" s="291"/>
      <c r="C249" s="637">
        <v>0</v>
      </c>
      <c r="D249" s="661"/>
      <c r="E249" s="644">
        <v>0</v>
      </c>
      <c r="F249" s="662"/>
      <c r="G249" s="662"/>
      <c r="H249" s="662"/>
      <c r="I249" s="646"/>
      <c r="J249" s="646"/>
      <c r="K249" s="646"/>
      <c r="L249" s="646">
        <f t="shared" si="18"/>
        <v>0</v>
      </c>
      <c r="M249" s="663">
        <f t="shared" si="8"/>
        <v>0</v>
      </c>
      <c r="N249" s="672"/>
      <c r="O249" s="701">
        <f t="shared" si="16"/>
        <v>0</v>
      </c>
      <c r="P249" s="672"/>
      <c r="Q249" s="672"/>
      <c r="R249" s="672"/>
      <c r="S249" s="672"/>
      <c r="T249" s="672"/>
      <c r="XFC249" s="674">
        <f t="shared" si="15"/>
        <v>0</v>
      </c>
      <c r="XFD249" s="678">
        <f t="shared" si="17"/>
        <v>0</v>
      </c>
    </row>
    <row r="250" spans="1:20 16383:16384" s="674" customFormat="1" hidden="1" outlineLevel="1" x14ac:dyDescent="0.2">
      <c r="A250" s="291"/>
      <c r="B250" s="291"/>
      <c r="C250" s="637">
        <v>0</v>
      </c>
      <c r="D250" s="661"/>
      <c r="E250" s="644">
        <v>0</v>
      </c>
      <c r="F250" s="662"/>
      <c r="G250" s="662"/>
      <c r="H250" s="662"/>
      <c r="I250" s="646"/>
      <c r="J250" s="646"/>
      <c r="K250" s="646"/>
      <c r="L250" s="646">
        <f t="shared" si="18"/>
        <v>0</v>
      </c>
      <c r="M250" s="663">
        <f t="shared" si="8"/>
        <v>0</v>
      </c>
      <c r="N250" s="672"/>
      <c r="O250" s="701">
        <f t="shared" si="16"/>
        <v>0</v>
      </c>
      <c r="P250" s="672"/>
      <c r="Q250" s="672"/>
      <c r="R250" s="672"/>
      <c r="S250" s="672"/>
      <c r="T250" s="672"/>
      <c r="XFC250" s="674">
        <f t="shared" si="15"/>
        <v>0</v>
      </c>
      <c r="XFD250" s="678">
        <f t="shared" si="17"/>
        <v>0</v>
      </c>
    </row>
    <row r="251" spans="1:20 16383:16384" s="674" customFormat="1" hidden="1" outlineLevel="1" x14ac:dyDescent="0.2">
      <c r="A251" s="291"/>
      <c r="B251" s="291"/>
      <c r="C251" s="637">
        <v>0</v>
      </c>
      <c r="D251" s="661"/>
      <c r="E251" s="644">
        <v>0</v>
      </c>
      <c r="F251" s="662"/>
      <c r="G251" s="662"/>
      <c r="H251" s="662"/>
      <c r="I251" s="646"/>
      <c r="J251" s="646"/>
      <c r="K251" s="646"/>
      <c r="L251" s="646">
        <f t="shared" si="18"/>
        <v>0</v>
      </c>
      <c r="M251" s="663">
        <f t="shared" si="8"/>
        <v>0</v>
      </c>
      <c r="N251" s="672"/>
      <c r="O251" s="701">
        <f t="shared" si="16"/>
        <v>0</v>
      </c>
      <c r="P251" s="672"/>
      <c r="Q251" s="672"/>
      <c r="R251" s="672"/>
      <c r="S251" s="672"/>
      <c r="T251" s="672"/>
      <c r="XFC251" s="674">
        <f t="shared" si="15"/>
        <v>0</v>
      </c>
      <c r="XFD251" s="678">
        <f t="shared" si="17"/>
        <v>0</v>
      </c>
    </row>
    <row r="252" spans="1:20 16383:16384" s="674" customFormat="1" hidden="1" outlineLevel="1" x14ac:dyDescent="0.2">
      <c r="A252" s="291"/>
      <c r="B252" s="291"/>
      <c r="C252" s="637">
        <v>0</v>
      </c>
      <c r="D252" s="661"/>
      <c r="E252" s="644">
        <v>0</v>
      </c>
      <c r="F252" s="662"/>
      <c r="G252" s="662"/>
      <c r="H252" s="662"/>
      <c r="I252" s="646"/>
      <c r="J252" s="646"/>
      <c r="K252" s="646"/>
      <c r="L252" s="646">
        <f t="shared" si="18"/>
        <v>0</v>
      </c>
      <c r="M252" s="663">
        <f t="shared" si="8"/>
        <v>0</v>
      </c>
      <c r="N252" s="672"/>
      <c r="O252" s="701">
        <f t="shared" si="16"/>
        <v>0</v>
      </c>
      <c r="P252" s="672"/>
      <c r="Q252" s="672"/>
      <c r="R252" s="672"/>
      <c r="S252" s="672"/>
      <c r="T252" s="672"/>
      <c r="XFC252" s="674">
        <f t="shared" si="15"/>
        <v>0</v>
      </c>
      <c r="XFD252" s="678">
        <f t="shared" si="17"/>
        <v>0</v>
      </c>
    </row>
    <row r="253" spans="1:20 16383:16384" s="674" customFormat="1" hidden="1" outlineLevel="1" x14ac:dyDescent="0.2">
      <c r="A253" s="291"/>
      <c r="B253" s="291"/>
      <c r="C253" s="637">
        <v>0</v>
      </c>
      <c r="D253" s="661"/>
      <c r="E253" s="644">
        <v>0</v>
      </c>
      <c r="F253" s="662"/>
      <c r="G253" s="662"/>
      <c r="H253" s="662"/>
      <c r="I253" s="646"/>
      <c r="J253" s="646"/>
      <c r="K253" s="646"/>
      <c r="L253" s="646">
        <f t="shared" si="18"/>
        <v>0</v>
      </c>
      <c r="M253" s="663">
        <f t="shared" si="8"/>
        <v>0</v>
      </c>
      <c r="N253" s="672"/>
      <c r="O253" s="701">
        <f t="shared" si="16"/>
        <v>0</v>
      </c>
      <c r="P253" s="672"/>
      <c r="Q253" s="672"/>
      <c r="R253" s="672"/>
      <c r="S253" s="672"/>
      <c r="T253" s="672"/>
      <c r="XFC253" s="674">
        <f t="shared" si="15"/>
        <v>0</v>
      </c>
      <c r="XFD253" s="678">
        <f t="shared" si="17"/>
        <v>0</v>
      </c>
    </row>
    <row r="254" spans="1:20 16383:16384" s="674" customFormat="1" hidden="1" outlineLevel="1" x14ac:dyDescent="0.2">
      <c r="A254" s="291"/>
      <c r="B254" s="291"/>
      <c r="C254" s="637">
        <v>0</v>
      </c>
      <c r="D254" s="661"/>
      <c r="E254" s="644">
        <v>0</v>
      </c>
      <c r="F254" s="662"/>
      <c r="G254" s="662"/>
      <c r="H254" s="662"/>
      <c r="I254" s="646"/>
      <c r="J254" s="646"/>
      <c r="K254" s="646"/>
      <c r="L254" s="646">
        <f t="shared" si="18"/>
        <v>0</v>
      </c>
      <c r="M254" s="663">
        <f t="shared" si="8"/>
        <v>0</v>
      </c>
      <c r="N254" s="672"/>
      <c r="O254" s="701">
        <f t="shared" si="16"/>
        <v>0</v>
      </c>
      <c r="P254" s="672"/>
      <c r="Q254" s="672"/>
      <c r="R254" s="672"/>
      <c r="S254" s="672"/>
      <c r="T254" s="672"/>
      <c r="XFC254" s="674">
        <f t="shared" si="15"/>
        <v>0</v>
      </c>
      <c r="XFD254" s="678">
        <f t="shared" si="17"/>
        <v>0</v>
      </c>
    </row>
    <row r="255" spans="1:20 16383:16384" s="674" customFormat="1" hidden="1" outlineLevel="1" x14ac:dyDescent="0.2">
      <c r="A255" s="291"/>
      <c r="B255" s="291"/>
      <c r="C255" s="637">
        <v>0</v>
      </c>
      <c r="D255" s="661"/>
      <c r="E255" s="644">
        <v>0</v>
      </c>
      <c r="F255" s="662"/>
      <c r="G255" s="662"/>
      <c r="H255" s="662"/>
      <c r="I255" s="646"/>
      <c r="J255" s="646"/>
      <c r="K255" s="646"/>
      <c r="L255" s="646">
        <f t="shared" si="18"/>
        <v>0</v>
      </c>
      <c r="M255" s="663">
        <f t="shared" si="8"/>
        <v>0</v>
      </c>
      <c r="N255" s="672"/>
      <c r="O255" s="701">
        <f t="shared" si="16"/>
        <v>0</v>
      </c>
      <c r="P255" s="672"/>
      <c r="Q255" s="672"/>
      <c r="R255" s="672"/>
      <c r="S255" s="672"/>
      <c r="T255" s="672"/>
      <c r="XFC255" s="674">
        <f t="shared" si="15"/>
        <v>0</v>
      </c>
      <c r="XFD255" s="678">
        <f t="shared" si="17"/>
        <v>0</v>
      </c>
    </row>
    <row r="256" spans="1:20 16383:16384" s="674" customFormat="1" hidden="1" outlineLevel="1" x14ac:dyDescent="0.2">
      <c r="A256" s="291"/>
      <c r="B256" s="291"/>
      <c r="C256" s="637">
        <v>0</v>
      </c>
      <c r="D256" s="661"/>
      <c r="E256" s="644">
        <v>0</v>
      </c>
      <c r="F256" s="662"/>
      <c r="G256" s="662"/>
      <c r="H256" s="662"/>
      <c r="I256" s="646"/>
      <c r="J256" s="646"/>
      <c r="K256" s="646"/>
      <c r="L256" s="646">
        <f t="shared" si="18"/>
        <v>0</v>
      </c>
      <c r="M256" s="663">
        <f t="shared" si="8"/>
        <v>0</v>
      </c>
      <c r="N256" s="672"/>
      <c r="O256" s="701">
        <f t="shared" si="16"/>
        <v>0</v>
      </c>
      <c r="P256" s="672"/>
      <c r="Q256" s="672"/>
      <c r="R256" s="672"/>
      <c r="S256" s="672"/>
      <c r="T256" s="672"/>
      <c r="XFC256" s="674">
        <f t="shared" si="15"/>
        <v>0</v>
      </c>
      <c r="XFD256" s="678">
        <f t="shared" si="17"/>
        <v>0</v>
      </c>
    </row>
    <row r="257" spans="1:20 16383:16384" s="674" customFormat="1" hidden="1" outlineLevel="1" x14ac:dyDescent="0.2">
      <c r="A257" s="291"/>
      <c r="B257" s="291"/>
      <c r="C257" s="637">
        <v>0</v>
      </c>
      <c r="D257" s="661"/>
      <c r="E257" s="644">
        <v>0</v>
      </c>
      <c r="F257" s="662"/>
      <c r="G257" s="662"/>
      <c r="H257" s="662"/>
      <c r="I257" s="646"/>
      <c r="J257" s="646"/>
      <c r="K257" s="646"/>
      <c r="L257" s="646">
        <f t="shared" si="18"/>
        <v>0</v>
      </c>
      <c r="M257" s="663">
        <f t="shared" si="8"/>
        <v>0</v>
      </c>
      <c r="N257" s="672"/>
      <c r="O257" s="701">
        <f t="shared" si="16"/>
        <v>0</v>
      </c>
      <c r="P257" s="672"/>
      <c r="Q257" s="672"/>
      <c r="R257" s="672"/>
      <c r="S257" s="672"/>
      <c r="T257" s="672"/>
      <c r="XFC257" s="674">
        <f t="shared" si="15"/>
        <v>0</v>
      </c>
      <c r="XFD257" s="678">
        <f t="shared" si="17"/>
        <v>0</v>
      </c>
    </row>
    <row r="258" spans="1:20 16383:16384" s="674" customFormat="1" hidden="1" outlineLevel="1" x14ac:dyDescent="0.2">
      <c r="A258" s="291"/>
      <c r="B258" s="291"/>
      <c r="C258" s="637">
        <v>0</v>
      </c>
      <c r="D258" s="661"/>
      <c r="E258" s="644">
        <v>0</v>
      </c>
      <c r="F258" s="662"/>
      <c r="G258" s="662"/>
      <c r="H258" s="662"/>
      <c r="I258" s="646"/>
      <c r="J258" s="646"/>
      <c r="K258" s="646"/>
      <c r="L258" s="646">
        <f t="shared" si="18"/>
        <v>0</v>
      </c>
      <c r="M258" s="663">
        <f t="shared" si="8"/>
        <v>0</v>
      </c>
      <c r="N258" s="672"/>
      <c r="O258" s="701">
        <f t="shared" si="16"/>
        <v>0</v>
      </c>
      <c r="P258" s="672"/>
      <c r="Q258" s="672"/>
      <c r="R258" s="672"/>
      <c r="S258" s="672"/>
      <c r="T258" s="672"/>
      <c r="XFC258" s="674">
        <f t="shared" si="15"/>
        <v>0</v>
      </c>
      <c r="XFD258" s="678">
        <f t="shared" si="17"/>
        <v>0</v>
      </c>
    </row>
    <row r="259" spans="1:20 16383:16384" s="674" customFormat="1" hidden="1" outlineLevel="1" x14ac:dyDescent="0.2">
      <c r="A259" s="291"/>
      <c r="B259" s="291"/>
      <c r="C259" s="637">
        <v>0</v>
      </c>
      <c r="D259" s="661"/>
      <c r="E259" s="644">
        <v>0</v>
      </c>
      <c r="F259" s="662"/>
      <c r="G259" s="662"/>
      <c r="H259" s="662"/>
      <c r="I259" s="646"/>
      <c r="J259" s="646"/>
      <c r="K259" s="646"/>
      <c r="L259" s="646">
        <f t="shared" si="18"/>
        <v>0</v>
      </c>
      <c r="M259" s="663">
        <f t="shared" si="8"/>
        <v>0</v>
      </c>
      <c r="N259" s="672"/>
      <c r="O259" s="701">
        <f t="shared" si="16"/>
        <v>0</v>
      </c>
      <c r="P259" s="672"/>
      <c r="Q259" s="672"/>
      <c r="R259" s="672"/>
      <c r="S259" s="672"/>
      <c r="T259" s="672"/>
      <c r="XFC259" s="674">
        <f t="shared" si="15"/>
        <v>0</v>
      </c>
      <c r="XFD259" s="678">
        <f t="shared" si="17"/>
        <v>0</v>
      </c>
    </row>
    <row r="260" spans="1:20 16383:16384" s="674" customFormat="1" hidden="1" outlineLevel="1" x14ac:dyDescent="0.2">
      <c r="A260" s="291"/>
      <c r="B260" s="291"/>
      <c r="C260" s="637">
        <v>0</v>
      </c>
      <c r="D260" s="661"/>
      <c r="E260" s="644">
        <v>0</v>
      </c>
      <c r="F260" s="662"/>
      <c r="G260" s="662"/>
      <c r="H260" s="662"/>
      <c r="I260" s="646"/>
      <c r="J260" s="646"/>
      <c r="K260" s="646"/>
      <c r="L260" s="646">
        <f t="shared" si="18"/>
        <v>0</v>
      </c>
      <c r="M260" s="663">
        <f t="shared" si="8"/>
        <v>0</v>
      </c>
      <c r="N260" s="672"/>
      <c r="O260" s="701">
        <f t="shared" si="16"/>
        <v>0</v>
      </c>
      <c r="P260" s="672"/>
      <c r="Q260" s="672"/>
      <c r="R260" s="672"/>
      <c r="S260" s="672"/>
      <c r="T260" s="672"/>
      <c r="XFC260" s="674">
        <f t="shared" si="15"/>
        <v>0</v>
      </c>
      <c r="XFD260" s="678">
        <f t="shared" si="17"/>
        <v>0</v>
      </c>
    </row>
    <row r="261" spans="1:20 16383:16384" s="674" customFormat="1" hidden="1" outlineLevel="1" x14ac:dyDescent="0.2">
      <c r="A261" s="291"/>
      <c r="B261" s="291"/>
      <c r="C261" s="637">
        <v>0</v>
      </c>
      <c r="D261" s="661"/>
      <c r="E261" s="644">
        <v>0</v>
      </c>
      <c r="F261" s="662"/>
      <c r="G261" s="662"/>
      <c r="H261" s="662"/>
      <c r="I261" s="646"/>
      <c r="J261" s="646"/>
      <c r="K261" s="646"/>
      <c r="L261" s="646">
        <f t="shared" si="18"/>
        <v>0</v>
      </c>
      <c r="M261" s="663">
        <f t="shared" si="8"/>
        <v>0</v>
      </c>
      <c r="N261" s="672"/>
      <c r="O261" s="701">
        <f t="shared" si="16"/>
        <v>0</v>
      </c>
      <c r="P261" s="672"/>
      <c r="Q261" s="672"/>
      <c r="R261" s="672"/>
      <c r="S261" s="672"/>
      <c r="T261" s="672"/>
      <c r="XFC261" s="674">
        <f t="shared" si="15"/>
        <v>0</v>
      </c>
      <c r="XFD261" s="678">
        <f t="shared" si="17"/>
        <v>0</v>
      </c>
    </row>
    <row r="262" spans="1:20 16383:16384" s="674" customFormat="1" hidden="1" outlineLevel="1" x14ac:dyDescent="0.2">
      <c r="A262" s="291"/>
      <c r="B262" s="291"/>
      <c r="C262" s="637">
        <v>0</v>
      </c>
      <c r="D262" s="661"/>
      <c r="E262" s="644">
        <v>0</v>
      </c>
      <c r="F262" s="662"/>
      <c r="G262" s="662"/>
      <c r="H262" s="662"/>
      <c r="I262" s="646"/>
      <c r="J262" s="646"/>
      <c r="K262" s="646"/>
      <c r="L262" s="646">
        <f t="shared" si="18"/>
        <v>0</v>
      </c>
      <c r="M262" s="663">
        <f t="shared" si="8"/>
        <v>0</v>
      </c>
      <c r="N262" s="672"/>
      <c r="O262" s="701">
        <f t="shared" si="16"/>
        <v>0</v>
      </c>
      <c r="P262" s="672"/>
      <c r="Q262" s="672"/>
      <c r="R262" s="672"/>
      <c r="S262" s="672"/>
      <c r="T262" s="672"/>
      <c r="XFC262" s="674">
        <f t="shared" si="15"/>
        <v>0</v>
      </c>
      <c r="XFD262" s="678">
        <f t="shared" si="17"/>
        <v>0</v>
      </c>
    </row>
    <row r="263" spans="1:20 16383:16384" s="674" customFormat="1" hidden="1" outlineLevel="1" x14ac:dyDescent="0.2">
      <c r="A263" s="291"/>
      <c r="B263" s="291"/>
      <c r="C263" s="637">
        <v>0</v>
      </c>
      <c r="D263" s="661"/>
      <c r="E263" s="644">
        <v>0</v>
      </c>
      <c r="F263" s="662"/>
      <c r="G263" s="662"/>
      <c r="H263" s="662"/>
      <c r="I263" s="646"/>
      <c r="J263" s="646"/>
      <c r="K263" s="646"/>
      <c r="L263" s="646">
        <f t="shared" si="18"/>
        <v>0</v>
      </c>
      <c r="M263" s="663">
        <f t="shared" si="8"/>
        <v>0</v>
      </c>
      <c r="N263" s="672"/>
      <c r="O263" s="701">
        <f t="shared" si="16"/>
        <v>0</v>
      </c>
      <c r="P263" s="672"/>
      <c r="Q263" s="672"/>
      <c r="R263" s="672"/>
      <c r="S263" s="672"/>
      <c r="T263" s="672"/>
      <c r="XFC263" s="674">
        <f t="shared" si="15"/>
        <v>0</v>
      </c>
      <c r="XFD263" s="678">
        <f t="shared" si="17"/>
        <v>0</v>
      </c>
    </row>
    <row r="264" spans="1:20 16383:16384" s="674" customFormat="1" hidden="1" outlineLevel="1" x14ac:dyDescent="0.2">
      <c r="A264" s="291"/>
      <c r="B264" s="291"/>
      <c r="C264" s="637">
        <v>0</v>
      </c>
      <c r="D264" s="661"/>
      <c r="E264" s="644">
        <v>0</v>
      </c>
      <c r="F264" s="662"/>
      <c r="G264" s="662"/>
      <c r="H264" s="662"/>
      <c r="I264" s="646"/>
      <c r="J264" s="646"/>
      <c r="K264" s="646"/>
      <c r="L264" s="646">
        <f t="shared" si="18"/>
        <v>0</v>
      </c>
      <c r="M264" s="663">
        <f t="shared" si="8"/>
        <v>0</v>
      </c>
      <c r="N264" s="672"/>
      <c r="O264" s="701">
        <f t="shared" si="16"/>
        <v>0</v>
      </c>
      <c r="P264" s="672"/>
      <c r="Q264" s="672"/>
      <c r="R264" s="672"/>
      <c r="S264" s="672"/>
      <c r="T264" s="672"/>
      <c r="XFC264" s="674">
        <f t="shared" si="15"/>
        <v>0</v>
      </c>
      <c r="XFD264" s="678">
        <f t="shared" si="17"/>
        <v>0</v>
      </c>
    </row>
    <row r="265" spans="1:20 16383:16384" s="674" customFormat="1" hidden="1" outlineLevel="1" x14ac:dyDescent="0.2">
      <c r="A265" s="291"/>
      <c r="B265" s="291"/>
      <c r="C265" s="637">
        <v>0</v>
      </c>
      <c r="D265" s="661"/>
      <c r="E265" s="644">
        <v>0</v>
      </c>
      <c r="F265" s="662"/>
      <c r="G265" s="662"/>
      <c r="H265" s="662"/>
      <c r="I265" s="646"/>
      <c r="J265" s="646"/>
      <c r="K265" s="646"/>
      <c r="L265" s="646">
        <f t="shared" si="18"/>
        <v>0</v>
      </c>
      <c r="M265" s="663">
        <f t="shared" si="8"/>
        <v>0</v>
      </c>
      <c r="N265" s="672"/>
      <c r="O265" s="701">
        <f t="shared" si="16"/>
        <v>0</v>
      </c>
      <c r="P265" s="672"/>
      <c r="Q265" s="672"/>
      <c r="R265" s="672"/>
      <c r="S265" s="672"/>
      <c r="T265" s="672"/>
      <c r="XFC265" s="674">
        <f t="shared" si="15"/>
        <v>0</v>
      </c>
      <c r="XFD265" s="678">
        <f t="shared" si="17"/>
        <v>0</v>
      </c>
    </row>
    <row r="266" spans="1:20 16383:16384" s="674" customFormat="1" hidden="1" outlineLevel="1" x14ac:dyDescent="0.2">
      <c r="A266" s="291"/>
      <c r="B266" s="291"/>
      <c r="C266" s="637">
        <v>0</v>
      </c>
      <c r="D266" s="661"/>
      <c r="E266" s="644">
        <v>0</v>
      </c>
      <c r="F266" s="662"/>
      <c r="G266" s="662"/>
      <c r="H266" s="662"/>
      <c r="I266" s="646"/>
      <c r="J266" s="646"/>
      <c r="K266" s="646"/>
      <c r="L266" s="646">
        <f t="shared" si="18"/>
        <v>0</v>
      </c>
      <c r="M266" s="663">
        <f t="shared" si="8"/>
        <v>0</v>
      </c>
      <c r="N266" s="672"/>
      <c r="O266" s="701">
        <f t="shared" si="16"/>
        <v>0</v>
      </c>
      <c r="P266" s="672"/>
      <c r="Q266" s="672"/>
      <c r="R266" s="672"/>
      <c r="S266" s="672"/>
      <c r="T266" s="672"/>
      <c r="XFC266" s="674">
        <f t="shared" si="15"/>
        <v>0</v>
      </c>
      <c r="XFD266" s="678">
        <f t="shared" si="17"/>
        <v>0</v>
      </c>
    </row>
    <row r="267" spans="1:20 16383:16384" s="674" customFormat="1" hidden="1" outlineLevel="1" x14ac:dyDescent="0.2">
      <c r="A267" s="291"/>
      <c r="B267" s="291"/>
      <c r="C267" s="637">
        <v>0</v>
      </c>
      <c r="D267" s="661"/>
      <c r="E267" s="644">
        <v>0</v>
      </c>
      <c r="F267" s="662"/>
      <c r="G267" s="662"/>
      <c r="H267" s="662"/>
      <c r="I267" s="646"/>
      <c r="J267" s="646"/>
      <c r="K267" s="646"/>
      <c r="L267" s="646">
        <f t="shared" si="18"/>
        <v>0</v>
      </c>
      <c r="M267" s="663">
        <f t="shared" si="8"/>
        <v>0</v>
      </c>
      <c r="N267" s="672"/>
      <c r="O267" s="701">
        <f t="shared" si="16"/>
        <v>0</v>
      </c>
      <c r="P267" s="672"/>
      <c r="Q267" s="672"/>
      <c r="R267" s="672"/>
      <c r="S267" s="672"/>
      <c r="T267" s="672"/>
      <c r="XFC267" s="674">
        <f t="shared" si="15"/>
        <v>0</v>
      </c>
      <c r="XFD267" s="678">
        <f t="shared" si="17"/>
        <v>0</v>
      </c>
    </row>
    <row r="268" spans="1:20 16383:16384" s="674" customFormat="1" hidden="1" outlineLevel="1" x14ac:dyDescent="0.2">
      <c r="A268" s="291"/>
      <c r="B268" s="291"/>
      <c r="C268" s="637">
        <v>0</v>
      </c>
      <c r="D268" s="661"/>
      <c r="E268" s="644">
        <v>0</v>
      </c>
      <c r="F268" s="662"/>
      <c r="G268" s="662"/>
      <c r="H268" s="662"/>
      <c r="I268" s="646"/>
      <c r="J268" s="646"/>
      <c r="K268" s="646"/>
      <c r="L268" s="646">
        <f t="shared" si="18"/>
        <v>0</v>
      </c>
      <c r="M268" s="663">
        <f t="shared" si="8"/>
        <v>0</v>
      </c>
      <c r="N268" s="672"/>
      <c r="O268" s="701">
        <f t="shared" si="16"/>
        <v>0</v>
      </c>
      <c r="P268" s="672"/>
      <c r="Q268" s="672"/>
      <c r="R268" s="672"/>
      <c r="S268" s="672"/>
      <c r="T268" s="672"/>
      <c r="XFC268" s="674">
        <f t="shared" si="15"/>
        <v>0</v>
      </c>
      <c r="XFD268" s="678">
        <f t="shared" si="17"/>
        <v>0</v>
      </c>
    </row>
    <row r="269" spans="1:20 16383:16384" s="674" customFormat="1" hidden="1" outlineLevel="1" x14ac:dyDescent="0.2">
      <c r="A269" s="291"/>
      <c r="B269" s="291"/>
      <c r="C269" s="637">
        <v>0</v>
      </c>
      <c r="D269" s="661"/>
      <c r="E269" s="644">
        <v>0</v>
      </c>
      <c r="F269" s="662"/>
      <c r="G269" s="662"/>
      <c r="H269" s="662"/>
      <c r="I269" s="646"/>
      <c r="J269" s="646"/>
      <c r="K269" s="646"/>
      <c r="L269" s="646">
        <f t="shared" si="18"/>
        <v>0</v>
      </c>
      <c r="M269" s="663">
        <f t="shared" si="8"/>
        <v>0</v>
      </c>
      <c r="N269" s="672"/>
      <c r="O269" s="701">
        <f t="shared" si="16"/>
        <v>0</v>
      </c>
      <c r="P269" s="672"/>
      <c r="Q269" s="672"/>
      <c r="R269" s="672"/>
      <c r="S269" s="672"/>
      <c r="T269" s="672"/>
      <c r="XFC269" s="674">
        <f t="shared" si="15"/>
        <v>0</v>
      </c>
      <c r="XFD269" s="678">
        <f t="shared" si="17"/>
        <v>0</v>
      </c>
    </row>
    <row r="270" spans="1:20 16383:16384" s="674" customFormat="1" hidden="1" outlineLevel="1" x14ac:dyDescent="0.2">
      <c r="A270" s="291"/>
      <c r="B270" s="291"/>
      <c r="C270" s="637">
        <v>0</v>
      </c>
      <c r="D270" s="661"/>
      <c r="E270" s="644">
        <v>0</v>
      </c>
      <c r="F270" s="662"/>
      <c r="G270" s="662"/>
      <c r="H270" s="662"/>
      <c r="I270" s="646"/>
      <c r="J270" s="646"/>
      <c r="K270" s="646"/>
      <c r="L270" s="646">
        <f t="shared" si="18"/>
        <v>0</v>
      </c>
      <c r="M270" s="663">
        <f t="shared" si="8"/>
        <v>0</v>
      </c>
      <c r="N270" s="672"/>
      <c r="O270" s="701">
        <f t="shared" si="16"/>
        <v>0</v>
      </c>
      <c r="P270" s="672"/>
      <c r="Q270" s="672"/>
      <c r="R270" s="672"/>
      <c r="S270" s="672"/>
      <c r="T270" s="672"/>
      <c r="XFC270" s="674">
        <f t="shared" si="15"/>
        <v>0</v>
      </c>
      <c r="XFD270" s="678">
        <f t="shared" si="17"/>
        <v>0</v>
      </c>
    </row>
    <row r="271" spans="1:20 16383:16384" s="674" customFormat="1" hidden="1" outlineLevel="1" x14ac:dyDescent="0.2">
      <c r="A271" s="291"/>
      <c r="B271" s="291"/>
      <c r="C271" s="637">
        <v>0</v>
      </c>
      <c r="D271" s="661"/>
      <c r="E271" s="644">
        <v>0</v>
      </c>
      <c r="F271" s="662"/>
      <c r="G271" s="662"/>
      <c r="H271" s="662"/>
      <c r="I271" s="646"/>
      <c r="J271" s="646"/>
      <c r="K271" s="646"/>
      <c r="L271" s="646">
        <f t="shared" si="18"/>
        <v>0</v>
      </c>
      <c r="M271" s="663">
        <f t="shared" si="8"/>
        <v>0</v>
      </c>
      <c r="N271" s="672"/>
      <c r="O271" s="701">
        <f t="shared" si="16"/>
        <v>0</v>
      </c>
      <c r="P271" s="672"/>
      <c r="Q271" s="672"/>
      <c r="R271" s="672"/>
      <c r="S271" s="672"/>
      <c r="T271" s="672"/>
      <c r="XFC271" s="674">
        <f t="shared" si="15"/>
        <v>0</v>
      </c>
      <c r="XFD271" s="678">
        <f t="shared" si="17"/>
        <v>0</v>
      </c>
    </row>
    <row r="272" spans="1:20 16383:16384" s="674" customFormat="1" hidden="1" outlineLevel="1" x14ac:dyDescent="0.2">
      <c r="A272" s="291"/>
      <c r="B272" s="291"/>
      <c r="C272" s="637">
        <v>0</v>
      </c>
      <c r="D272" s="661"/>
      <c r="E272" s="644">
        <v>0</v>
      </c>
      <c r="F272" s="662"/>
      <c r="G272" s="662"/>
      <c r="H272" s="662"/>
      <c r="I272" s="646"/>
      <c r="J272" s="646"/>
      <c r="K272" s="646"/>
      <c r="L272" s="646">
        <f t="shared" si="18"/>
        <v>0</v>
      </c>
      <c r="M272" s="663">
        <f t="shared" si="8"/>
        <v>0</v>
      </c>
      <c r="N272" s="672"/>
      <c r="O272" s="701">
        <f t="shared" si="16"/>
        <v>0</v>
      </c>
      <c r="P272" s="672"/>
      <c r="Q272" s="672"/>
      <c r="R272" s="672"/>
      <c r="S272" s="672"/>
      <c r="T272" s="672"/>
      <c r="XFC272" s="674">
        <f t="shared" si="15"/>
        <v>0</v>
      </c>
      <c r="XFD272" s="678">
        <f t="shared" si="17"/>
        <v>0</v>
      </c>
    </row>
    <row r="273" spans="1:20 16383:16384" s="674" customFormat="1" hidden="1" outlineLevel="1" x14ac:dyDescent="0.2">
      <c r="A273" s="291"/>
      <c r="B273" s="291"/>
      <c r="C273" s="637">
        <v>0</v>
      </c>
      <c r="D273" s="661"/>
      <c r="E273" s="644">
        <v>0</v>
      </c>
      <c r="F273" s="662"/>
      <c r="G273" s="662"/>
      <c r="H273" s="662"/>
      <c r="I273" s="646"/>
      <c r="J273" s="646"/>
      <c r="K273" s="646"/>
      <c r="L273" s="646">
        <f t="shared" si="18"/>
        <v>0</v>
      </c>
      <c r="M273" s="663">
        <f t="shared" si="8"/>
        <v>0</v>
      </c>
      <c r="N273" s="672"/>
      <c r="O273" s="701">
        <f t="shared" si="16"/>
        <v>0</v>
      </c>
      <c r="P273" s="672"/>
      <c r="Q273" s="672"/>
      <c r="R273" s="672"/>
      <c r="S273" s="672"/>
      <c r="T273" s="672"/>
      <c r="XFC273" s="674">
        <f t="shared" si="15"/>
        <v>0</v>
      </c>
      <c r="XFD273" s="678">
        <f t="shared" si="17"/>
        <v>0</v>
      </c>
    </row>
    <row r="274" spans="1:20 16383:16384" s="674" customFormat="1" hidden="1" outlineLevel="1" x14ac:dyDescent="0.2">
      <c r="A274" s="291"/>
      <c r="B274" s="291"/>
      <c r="C274" s="637">
        <v>0</v>
      </c>
      <c r="D274" s="661"/>
      <c r="E274" s="644">
        <v>0</v>
      </c>
      <c r="F274" s="662"/>
      <c r="G274" s="662"/>
      <c r="H274" s="662"/>
      <c r="I274" s="646"/>
      <c r="J274" s="646"/>
      <c r="K274" s="646"/>
      <c r="L274" s="646">
        <f t="shared" si="18"/>
        <v>0</v>
      </c>
      <c r="M274" s="663">
        <f t="shared" si="8"/>
        <v>0</v>
      </c>
      <c r="N274" s="672"/>
      <c r="O274" s="701">
        <f t="shared" si="16"/>
        <v>0</v>
      </c>
      <c r="P274" s="672"/>
      <c r="Q274" s="672"/>
      <c r="R274" s="672"/>
      <c r="S274" s="672"/>
      <c r="T274" s="672"/>
      <c r="XFC274" s="674">
        <f t="shared" si="15"/>
        <v>0</v>
      </c>
      <c r="XFD274" s="678">
        <f t="shared" si="17"/>
        <v>0</v>
      </c>
    </row>
    <row r="275" spans="1:20 16383:16384" s="674" customFormat="1" hidden="1" outlineLevel="1" x14ac:dyDescent="0.2">
      <c r="A275" s="291"/>
      <c r="B275" s="291"/>
      <c r="C275" s="637">
        <v>0</v>
      </c>
      <c r="D275" s="661"/>
      <c r="E275" s="644">
        <v>0</v>
      </c>
      <c r="F275" s="662"/>
      <c r="G275" s="662"/>
      <c r="H275" s="662"/>
      <c r="I275" s="646"/>
      <c r="J275" s="646"/>
      <c r="K275" s="646"/>
      <c r="L275" s="646">
        <f t="shared" si="18"/>
        <v>0</v>
      </c>
      <c r="M275" s="663">
        <f t="shared" si="8"/>
        <v>0</v>
      </c>
      <c r="N275" s="672"/>
      <c r="O275" s="701">
        <f t="shared" si="16"/>
        <v>0</v>
      </c>
      <c r="P275" s="672"/>
      <c r="Q275" s="672"/>
      <c r="R275" s="672"/>
      <c r="S275" s="672"/>
      <c r="T275" s="672"/>
      <c r="XFC275" s="674">
        <f t="shared" ref="XFC275:XFC338" si="19">IF(AND(K275&gt;0,L275=""),1,0)</f>
        <v>0</v>
      </c>
      <c r="XFD275" s="678">
        <f t="shared" si="17"/>
        <v>0</v>
      </c>
    </row>
    <row r="276" spans="1:20 16383:16384" s="674" customFormat="1" hidden="1" outlineLevel="1" x14ac:dyDescent="0.2">
      <c r="A276" s="291"/>
      <c r="B276" s="291"/>
      <c r="C276" s="637">
        <v>0</v>
      </c>
      <c r="D276" s="661"/>
      <c r="E276" s="644">
        <v>0</v>
      </c>
      <c r="F276" s="662"/>
      <c r="G276" s="662"/>
      <c r="H276" s="662"/>
      <c r="I276" s="646"/>
      <c r="J276" s="646"/>
      <c r="K276" s="646"/>
      <c r="L276" s="646">
        <f t="shared" si="18"/>
        <v>0</v>
      </c>
      <c r="M276" s="663">
        <f t="shared" si="8"/>
        <v>0</v>
      </c>
      <c r="N276" s="672"/>
      <c r="O276" s="701">
        <f t="shared" ref="O276:O339" si="20">IFERROR((+K276/I276),0)</f>
        <v>0</v>
      </c>
      <c r="P276" s="672"/>
      <c r="Q276" s="672"/>
      <c r="R276" s="672"/>
      <c r="S276" s="672"/>
      <c r="T276" s="672"/>
      <c r="XFC276" s="674">
        <f t="shared" si="19"/>
        <v>0</v>
      </c>
      <c r="XFD276" s="678">
        <f t="shared" ref="XFD276:XFD339" si="21">+K276</f>
        <v>0</v>
      </c>
    </row>
    <row r="277" spans="1:20 16383:16384" s="674" customFormat="1" hidden="1" outlineLevel="1" x14ac:dyDescent="0.2">
      <c r="A277" s="291"/>
      <c r="B277" s="291"/>
      <c r="C277" s="637">
        <v>0</v>
      </c>
      <c r="D277" s="661"/>
      <c r="E277" s="644">
        <v>0</v>
      </c>
      <c r="F277" s="662"/>
      <c r="G277" s="662"/>
      <c r="H277" s="662"/>
      <c r="I277" s="646"/>
      <c r="J277" s="646"/>
      <c r="K277" s="646"/>
      <c r="L277" s="646">
        <f t="shared" si="18"/>
        <v>0</v>
      </c>
      <c r="M277" s="663">
        <f t="shared" si="8"/>
        <v>0</v>
      </c>
      <c r="N277" s="672"/>
      <c r="O277" s="701">
        <f t="shared" si="20"/>
        <v>0</v>
      </c>
      <c r="P277" s="672"/>
      <c r="Q277" s="672"/>
      <c r="R277" s="672"/>
      <c r="S277" s="672"/>
      <c r="T277" s="672"/>
      <c r="XFC277" s="674">
        <f t="shared" si="19"/>
        <v>0</v>
      </c>
      <c r="XFD277" s="678">
        <f t="shared" si="21"/>
        <v>0</v>
      </c>
    </row>
    <row r="278" spans="1:20 16383:16384" s="674" customFormat="1" hidden="1" outlineLevel="1" x14ac:dyDescent="0.2">
      <c r="A278" s="291"/>
      <c r="B278" s="291"/>
      <c r="C278" s="637">
        <v>0</v>
      </c>
      <c r="D278" s="661"/>
      <c r="E278" s="644">
        <v>0</v>
      </c>
      <c r="F278" s="662"/>
      <c r="G278" s="662"/>
      <c r="H278" s="662"/>
      <c r="I278" s="646"/>
      <c r="J278" s="646"/>
      <c r="K278" s="646"/>
      <c r="L278" s="646">
        <f t="shared" si="18"/>
        <v>0</v>
      </c>
      <c r="M278" s="663">
        <f t="shared" si="8"/>
        <v>0</v>
      </c>
      <c r="N278" s="672"/>
      <c r="O278" s="701">
        <f t="shared" si="20"/>
        <v>0</v>
      </c>
      <c r="P278" s="672"/>
      <c r="Q278" s="672"/>
      <c r="R278" s="672"/>
      <c r="S278" s="672"/>
      <c r="T278" s="672"/>
      <c r="XFC278" s="674">
        <f t="shared" si="19"/>
        <v>0</v>
      </c>
      <c r="XFD278" s="678">
        <f t="shared" si="21"/>
        <v>0</v>
      </c>
    </row>
    <row r="279" spans="1:20 16383:16384" s="674" customFormat="1" hidden="1" outlineLevel="1" x14ac:dyDescent="0.2">
      <c r="A279" s="291"/>
      <c r="B279" s="291"/>
      <c r="C279" s="637">
        <v>0</v>
      </c>
      <c r="D279" s="661"/>
      <c r="E279" s="644">
        <v>0</v>
      </c>
      <c r="F279" s="662"/>
      <c r="G279" s="662"/>
      <c r="H279" s="662"/>
      <c r="I279" s="646"/>
      <c r="J279" s="646"/>
      <c r="K279" s="646"/>
      <c r="L279" s="646">
        <f t="shared" si="18"/>
        <v>0</v>
      </c>
      <c r="M279" s="663">
        <f t="shared" si="8"/>
        <v>0</v>
      </c>
      <c r="N279" s="672"/>
      <c r="O279" s="701">
        <f t="shared" si="20"/>
        <v>0</v>
      </c>
      <c r="P279" s="672"/>
      <c r="Q279" s="672"/>
      <c r="R279" s="672"/>
      <c r="S279" s="672"/>
      <c r="T279" s="672"/>
      <c r="XFC279" s="674">
        <f t="shared" si="19"/>
        <v>0</v>
      </c>
      <c r="XFD279" s="678">
        <f t="shared" si="21"/>
        <v>0</v>
      </c>
    </row>
    <row r="280" spans="1:20 16383:16384" s="674" customFormat="1" hidden="1" outlineLevel="1" x14ac:dyDescent="0.2">
      <c r="A280" s="291"/>
      <c r="B280" s="291"/>
      <c r="C280" s="637">
        <v>0</v>
      </c>
      <c r="D280" s="661"/>
      <c r="E280" s="644">
        <v>0</v>
      </c>
      <c r="F280" s="662"/>
      <c r="G280" s="662"/>
      <c r="H280" s="662"/>
      <c r="I280" s="646"/>
      <c r="J280" s="646"/>
      <c r="K280" s="646"/>
      <c r="L280" s="646">
        <f t="shared" si="18"/>
        <v>0</v>
      </c>
      <c r="M280" s="663">
        <f t="shared" si="8"/>
        <v>0</v>
      </c>
      <c r="N280" s="672"/>
      <c r="O280" s="701">
        <f t="shared" si="20"/>
        <v>0</v>
      </c>
      <c r="P280" s="672"/>
      <c r="Q280" s="672"/>
      <c r="R280" s="672"/>
      <c r="S280" s="672"/>
      <c r="T280" s="672"/>
      <c r="XFC280" s="674">
        <f t="shared" si="19"/>
        <v>0</v>
      </c>
      <c r="XFD280" s="678">
        <f t="shared" si="21"/>
        <v>0</v>
      </c>
    </row>
    <row r="281" spans="1:20 16383:16384" s="674" customFormat="1" hidden="1" outlineLevel="1" x14ac:dyDescent="0.2">
      <c r="A281" s="291"/>
      <c r="B281" s="291"/>
      <c r="C281" s="637">
        <v>0</v>
      </c>
      <c r="D281" s="661"/>
      <c r="E281" s="644">
        <v>0</v>
      </c>
      <c r="F281" s="662"/>
      <c r="G281" s="662"/>
      <c r="H281" s="662"/>
      <c r="I281" s="646"/>
      <c r="J281" s="646"/>
      <c r="K281" s="646"/>
      <c r="L281" s="646">
        <f t="shared" si="18"/>
        <v>0</v>
      </c>
      <c r="M281" s="663">
        <f t="shared" si="8"/>
        <v>0</v>
      </c>
      <c r="N281" s="672"/>
      <c r="O281" s="701">
        <f t="shared" si="20"/>
        <v>0</v>
      </c>
      <c r="P281" s="672"/>
      <c r="Q281" s="672"/>
      <c r="R281" s="672"/>
      <c r="S281" s="672"/>
      <c r="T281" s="672"/>
      <c r="XFC281" s="674">
        <f t="shared" si="19"/>
        <v>0</v>
      </c>
      <c r="XFD281" s="678">
        <f t="shared" si="21"/>
        <v>0</v>
      </c>
    </row>
    <row r="282" spans="1:20 16383:16384" s="674" customFormat="1" hidden="1" outlineLevel="1" x14ac:dyDescent="0.2">
      <c r="A282" s="291"/>
      <c r="B282" s="291"/>
      <c r="C282" s="637">
        <v>0</v>
      </c>
      <c r="D282" s="661"/>
      <c r="E282" s="644">
        <v>0</v>
      </c>
      <c r="F282" s="662"/>
      <c r="G282" s="662"/>
      <c r="H282" s="662"/>
      <c r="I282" s="646"/>
      <c r="J282" s="646"/>
      <c r="K282" s="646"/>
      <c r="L282" s="646">
        <f t="shared" si="18"/>
        <v>0</v>
      </c>
      <c r="M282" s="663">
        <f t="shared" si="8"/>
        <v>0</v>
      </c>
      <c r="N282" s="672"/>
      <c r="O282" s="701">
        <f t="shared" si="20"/>
        <v>0</v>
      </c>
      <c r="P282" s="672"/>
      <c r="Q282" s="672"/>
      <c r="R282" s="672"/>
      <c r="S282" s="672"/>
      <c r="T282" s="672"/>
      <c r="XFC282" s="674">
        <f t="shared" si="19"/>
        <v>0</v>
      </c>
      <c r="XFD282" s="678">
        <f t="shared" si="21"/>
        <v>0</v>
      </c>
    </row>
    <row r="283" spans="1:20 16383:16384" s="674" customFormat="1" hidden="1" outlineLevel="1" x14ac:dyDescent="0.2">
      <c r="A283" s="291"/>
      <c r="B283" s="291"/>
      <c r="C283" s="637">
        <v>0</v>
      </c>
      <c r="D283" s="661"/>
      <c r="E283" s="644">
        <v>0</v>
      </c>
      <c r="F283" s="662"/>
      <c r="G283" s="662"/>
      <c r="H283" s="662"/>
      <c r="I283" s="646"/>
      <c r="J283" s="646"/>
      <c r="K283" s="646"/>
      <c r="L283" s="646">
        <f t="shared" si="18"/>
        <v>0</v>
      </c>
      <c r="M283" s="663">
        <f t="shared" si="8"/>
        <v>0</v>
      </c>
      <c r="N283" s="672"/>
      <c r="O283" s="701">
        <f t="shared" si="20"/>
        <v>0</v>
      </c>
      <c r="P283" s="672"/>
      <c r="Q283" s="672"/>
      <c r="R283" s="672"/>
      <c r="S283" s="672"/>
      <c r="T283" s="672"/>
      <c r="XFC283" s="674">
        <f t="shared" si="19"/>
        <v>0</v>
      </c>
      <c r="XFD283" s="678">
        <f t="shared" si="21"/>
        <v>0</v>
      </c>
    </row>
    <row r="284" spans="1:20 16383:16384" s="674" customFormat="1" hidden="1" outlineLevel="1" x14ac:dyDescent="0.2">
      <c r="A284" s="291"/>
      <c r="B284" s="291"/>
      <c r="C284" s="637">
        <v>0</v>
      </c>
      <c r="D284" s="661"/>
      <c r="E284" s="644">
        <v>0</v>
      </c>
      <c r="F284" s="662"/>
      <c r="G284" s="662"/>
      <c r="H284" s="662"/>
      <c r="I284" s="646"/>
      <c r="J284" s="646"/>
      <c r="K284" s="646"/>
      <c r="L284" s="646">
        <f t="shared" si="18"/>
        <v>0</v>
      </c>
      <c r="M284" s="663">
        <f t="shared" si="8"/>
        <v>0</v>
      </c>
      <c r="N284" s="672"/>
      <c r="O284" s="701">
        <f t="shared" si="20"/>
        <v>0</v>
      </c>
      <c r="P284" s="672"/>
      <c r="Q284" s="672"/>
      <c r="R284" s="672"/>
      <c r="S284" s="672"/>
      <c r="T284" s="672"/>
      <c r="XFC284" s="674">
        <f t="shared" si="19"/>
        <v>0</v>
      </c>
      <c r="XFD284" s="678">
        <f t="shared" si="21"/>
        <v>0</v>
      </c>
    </row>
    <row r="285" spans="1:20 16383:16384" s="674" customFormat="1" hidden="1" outlineLevel="1" x14ac:dyDescent="0.2">
      <c r="A285" s="291"/>
      <c r="B285" s="291"/>
      <c r="C285" s="637">
        <v>0</v>
      </c>
      <c r="D285" s="661"/>
      <c r="E285" s="644">
        <v>0</v>
      </c>
      <c r="F285" s="662"/>
      <c r="G285" s="662"/>
      <c r="H285" s="662"/>
      <c r="I285" s="646"/>
      <c r="J285" s="646"/>
      <c r="K285" s="646"/>
      <c r="L285" s="646">
        <f t="shared" si="18"/>
        <v>0</v>
      </c>
      <c r="M285" s="663">
        <f t="shared" si="8"/>
        <v>0</v>
      </c>
      <c r="N285" s="672"/>
      <c r="O285" s="701">
        <f t="shared" si="20"/>
        <v>0</v>
      </c>
      <c r="P285" s="672"/>
      <c r="Q285" s="672"/>
      <c r="R285" s="672"/>
      <c r="S285" s="672"/>
      <c r="T285" s="672"/>
      <c r="XFC285" s="674">
        <f t="shared" si="19"/>
        <v>0</v>
      </c>
      <c r="XFD285" s="678">
        <f t="shared" si="21"/>
        <v>0</v>
      </c>
    </row>
    <row r="286" spans="1:20 16383:16384" s="674" customFormat="1" hidden="1" outlineLevel="1" x14ac:dyDescent="0.2">
      <c r="A286" s="291"/>
      <c r="B286" s="291"/>
      <c r="C286" s="637">
        <v>0</v>
      </c>
      <c r="D286" s="661"/>
      <c r="E286" s="644">
        <v>0</v>
      </c>
      <c r="F286" s="662"/>
      <c r="G286" s="662"/>
      <c r="H286" s="662"/>
      <c r="I286" s="646"/>
      <c r="J286" s="646"/>
      <c r="K286" s="646"/>
      <c r="L286" s="646">
        <f t="shared" si="18"/>
        <v>0</v>
      </c>
      <c r="M286" s="663">
        <f t="shared" si="8"/>
        <v>0</v>
      </c>
      <c r="N286" s="672"/>
      <c r="O286" s="701">
        <f t="shared" si="20"/>
        <v>0</v>
      </c>
      <c r="P286" s="672"/>
      <c r="Q286" s="672"/>
      <c r="R286" s="672"/>
      <c r="S286" s="672"/>
      <c r="T286" s="672"/>
      <c r="XFC286" s="674">
        <f t="shared" si="19"/>
        <v>0</v>
      </c>
      <c r="XFD286" s="678">
        <f t="shared" si="21"/>
        <v>0</v>
      </c>
    </row>
    <row r="287" spans="1:20 16383:16384" s="674" customFormat="1" hidden="1" outlineLevel="1" x14ac:dyDescent="0.2">
      <c r="A287" s="291"/>
      <c r="B287" s="291"/>
      <c r="C287" s="637">
        <v>0</v>
      </c>
      <c r="D287" s="661"/>
      <c r="E287" s="644">
        <v>0</v>
      </c>
      <c r="F287" s="662"/>
      <c r="G287" s="662"/>
      <c r="H287" s="662"/>
      <c r="I287" s="646"/>
      <c r="J287" s="646"/>
      <c r="K287" s="646"/>
      <c r="L287" s="646">
        <f t="shared" si="18"/>
        <v>0</v>
      </c>
      <c r="M287" s="663">
        <f t="shared" si="8"/>
        <v>0</v>
      </c>
      <c r="N287" s="672"/>
      <c r="O287" s="701">
        <f t="shared" si="20"/>
        <v>0</v>
      </c>
      <c r="P287" s="672"/>
      <c r="Q287" s="672"/>
      <c r="R287" s="672"/>
      <c r="S287" s="672"/>
      <c r="T287" s="672"/>
      <c r="XFC287" s="674">
        <f t="shared" si="19"/>
        <v>0</v>
      </c>
      <c r="XFD287" s="678">
        <f t="shared" si="21"/>
        <v>0</v>
      </c>
    </row>
    <row r="288" spans="1:20 16383:16384" s="674" customFormat="1" hidden="1" outlineLevel="1" x14ac:dyDescent="0.2">
      <c r="A288" s="291"/>
      <c r="B288" s="291"/>
      <c r="C288" s="637">
        <v>0</v>
      </c>
      <c r="D288" s="661"/>
      <c r="E288" s="644">
        <v>0</v>
      </c>
      <c r="F288" s="662"/>
      <c r="G288" s="662"/>
      <c r="H288" s="662"/>
      <c r="I288" s="646"/>
      <c r="J288" s="646"/>
      <c r="K288" s="646"/>
      <c r="L288" s="646">
        <f t="shared" si="18"/>
        <v>0</v>
      </c>
      <c r="M288" s="663">
        <f t="shared" si="8"/>
        <v>0</v>
      </c>
      <c r="N288" s="672"/>
      <c r="O288" s="701">
        <f t="shared" si="20"/>
        <v>0</v>
      </c>
      <c r="P288" s="672"/>
      <c r="Q288" s="672"/>
      <c r="R288" s="672"/>
      <c r="S288" s="672"/>
      <c r="T288" s="672"/>
      <c r="XFC288" s="674">
        <f t="shared" si="19"/>
        <v>0</v>
      </c>
      <c r="XFD288" s="678">
        <f t="shared" si="21"/>
        <v>0</v>
      </c>
    </row>
    <row r="289" spans="1:20 16383:16384" s="674" customFormat="1" hidden="1" outlineLevel="1" x14ac:dyDescent="0.2">
      <c r="A289" s="291"/>
      <c r="B289" s="291"/>
      <c r="C289" s="637">
        <v>0</v>
      </c>
      <c r="D289" s="661"/>
      <c r="E289" s="644">
        <v>0</v>
      </c>
      <c r="F289" s="662"/>
      <c r="G289" s="662"/>
      <c r="H289" s="662"/>
      <c r="I289" s="646"/>
      <c r="J289" s="646"/>
      <c r="K289" s="646"/>
      <c r="L289" s="646">
        <f t="shared" si="18"/>
        <v>0</v>
      </c>
      <c r="M289" s="663">
        <f t="shared" si="8"/>
        <v>0</v>
      </c>
      <c r="N289" s="672"/>
      <c r="O289" s="701">
        <f t="shared" si="20"/>
        <v>0</v>
      </c>
      <c r="P289" s="672"/>
      <c r="Q289" s="672"/>
      <c r="R289" s="672"/>
      <c r="S289" s="672"/>
      <c r="T289" s="672"/>
      <c r="XFC289" s="674">
        <f t="shared" si="19"/>
        <v>0</v>
      </c>
      <c r="XFD289" s="678">
        <f t="shared" si="21"/>
        <v>0</v>
      </c>
    </row>
    <row r="290" spans="1:20 16383:16384" s="674" customFormat="1" hidden="1" outlineLevel="1" x14ac:dyDescent="0.2">
      <c r="A290" s="291"/>
      <c r="B290" s="291"/>
      <c r="C290" s="637">
        <v>0</v>
      </c>
      <c r="D290" s="661"/>
      <c r="E290" s="644">
        <v>0</v>
      </c>
      <c r="F290" s="662"/>
      <c r="G290" s="662"/>
      <c r="H290" s="662"/>
      <c r="I290" s="646"/>
      <c r="J290" s="646"/>
      <c r="K290" s="646"/>
      <c r="L290" s="646">
        <f t="shared" si="18"/>
        <v>0</v>
      </c>
      <c r="M290" s="663">
        <f t="shared" si="8"/>
        <v>0</v>
      </c>
      <c r="N290" s="672"/>
      <c r="O290" s="701">
        <f t="shared" si="20"/>
        <v>0</v>
      </c>
      <c r="P290" s="672"/>
      <c r="Q290" s="672"/>
      <c r="R290" s="672"/>
      <c r="S290" s="672"/>
      <c r="T290" s="672"/>
      <c r="XFC290" s="674">
        <f t="shared" si="19"/>
        <v>0</v>
      </c>
      <c r="XFD290" s="678">
        <f t="shared" si="21"/>
        <v>0</v>
      </c>
    </row>
    <row r="291" spans="1:20 16383:16384" s="674" customFormat="1" hidden="1" outlineLevel="1" x14ac:dyDescent="0.2">
      <c r="A291" s="291"/>
      <c r="B291" s="291"/>
      <c r="C291" s="637">
        <v>0</v>
      </c>
      <c r="D291" s="661"/>
      <c r="E291" s="644">
        <v>0</v>
      </c>
      <c r="F291" s="662"/>
      <c r="G291" s="662"/>
      <c r="H291" s="662"/>
      <c r="I291" s="646"/>
      <c r="J291" s="646"/>
      <c r="K291" s="646"/>
      <c r="L291" s="646">
        <f t="shared" si="18"/>
        <v>0</v>
      </c>
      <c r="M291" s="663">
        <f t="shared" si="8"/>
        <v>0</v>
      </c>
      <c r="N291" s="672"/>
      <c r="O291" s="701">
        <f t="shared" si="20"/>
        <v>0</v>
      </c>
      <c r="P291" s="672"/>
      <c r="Q291" s="672"/>
      <c r="R291" s="672"/>
      <c r="S291" s="672"/>
      <c r="T291" s="672"/>
      <c r="XFC291" s="674">
        <f t="shared" si="19"/>
        <v>0</v>
      </c>
      <c r="XFD291" s="678">
        <f t="shared" si="21"/>
        <v>0</v>
      </c>
    </row>
    <row r="292" spans="1:20 16383:16384" s="674" customFormat="1" hidden="1" outlineLevel="1" x14ac:dyDescent="0.2">
      <c r="A292" s="291"/>
      <c r="B292" s="291"/>
      <c r="C292" s="637">
        <v>0</v>
      </c>
      <c r="D292" s="661"/>
      <c r="E292" s="644">
        <v>0</v>
      </c>
      <c r="F292" s="662"/>
      <c r="G292" s="662"/>
      <c r="H292" s="662"/>
      <c r="I292" s="646"/>
      <c r="J292" s="646"/>
      <c r="K292" s="646"/>
      <c r="L292" s="646">
        <f t="shared" si="18"/>
        <v>0</v>
      </c>
      <c r="M292" s="663">
        <f t="shared" si="8"/>
        <v>0</v>
      </c>
      <c r="N292" s="672"/>
      <c r="O292" s="701">
        <f t="shared" si="20"/>
        <v>0</v>
      </c>
      <c r="P292" s="672"/>
      <c r="Q292" s="672"/>
      <c r="R292" s="672"/>
      <c r="S292" s="672"/>
      <c r="T292" s="672"/>
      <c r="XFC292" s="674">
        <f t="shared" si="19"/>
        <v>0</v>
      </c>
      <c r="XFD292" s="678">
        <f t="shared" si="21"/>
        <v>0</v>
      </c>
    </row>
    <row r="293" spans="1:20 16383:16384" s="674" customFormat="1" hidden="1" outlineLevel="1" x14ac:dyDescent="0.2">
      <c r="A293" s="291"/>
      <c r="B293" s="291"/>
      <c r="C293" s="637">
        <v>0</v>
      </c>
      <c r="D293" s="661"/>
      <c r="E293" s="644">
        <v>0</v>
      </c>
      <c r="F293" s="662"/>
      <c r="G293" s="662"/>
      <c r="H293" s="662"/>
      <c r="I293" s="646"/>
      <c r="J293" s="646"/>
      <c r="K293" s="646"/>
      <c r="L293" s="646">
        <f t="shared" si="18"/>
        <v>0</v>
      </c>
      <c r="M293" s="663">
        <f t="shared" si="8"/>
        <v>0</v>
      </c>
      <c r="N293" s="672"/>
      <c r="O293" s="701">
        <f t="shared" si="20"/>
        <v>0</v>
      </c>
      <c r="P293" s="672"/>
      <c r="Q293" s="672"/>
      <c r="R293" s="672"/>
      <c r="S293" s="672"/>
      <c r="T293" s="672"/>
      <c r="XFC293" s="674">
        <f t="shared" si="19"/>
        <v>0</v>
      </c>
      <c r="XFD293" s="678">
        <f t="shared" si="21"/>
        <v>0</v>
      </c>
    </row>
    <row r="294" spans="1:20 16383:16384" s="674" customFormat="1" hidden="1" outlineLevel="1" x14ac:dyDescent="0.2">
      <c r="A294" s="291"/>
      <c r="B294" s="291"/>
      <c r="C294" s="637">
        <v>0</v>
      </c>
      <c r="D294" s="661"/>
      <c r="E294" s="644">
        <v>0</v>
      </c>
      <c r="F294" s="662"/>
      <c r="G294" s="662"/>
      <c r="H294" s="662"/>
      <c r="I294" s="646"/>
      <c r="J294" s="646"/>
      <c r="K294" s="646"/>
      <c r="L294" s="646">
        <f t="shared" si="18"/>
        <v>0</v>
      </c>
      <c r="M294" s="663">
        <f t="shared" si="8"/>
        <v>0</v>
      </c>
      <c r="N294" s="672"/>
      <c r="O294" s="701">
        <f t="shared" si="20"/>
        <v>0</v>
      </c>
      <c r="P294" s="672"/>
      <c r="Q294" s="672"/>
      <c r="R294" s="672"/>
      <c r="S294" s="672"/>
      <c r="T294" s="672"/>
      <c r="XFC294" s="674">
        <f t="shared" si="19"/>
        <v>0</v>
      </c>
      <c r="XFD294" s="678">
        <f t="shared" si="21"/>
        <v>0</v>
      </c>
    </row>
    <row r="295" spans="1:20 16383:16384" s="674" customFormat="1" hidden="1" outlineLevel="1" x14ac:dyDescent="0.2">
      <c r="A295" s="291"/>
      <c r="B295" s="291"/>
      <c r="C295" s="637">
        <v>0</v>
      </c>
      <c r="D295" s="661"/>
      <c r="E295" s="644">
        <v>0</v>
      </c>
      <c r="F295" s="662"/>
      <c r="G295" s="662"/>
      <c r="H295" s="662"/>
      <c r="I295" s="646"/>
      <c r="J295" s="646"/>
      <c r="K295" s="646"/>
      <c r="L295" s="646">
        <f t="shared" si="18"/>
        <v>0</v>
      </c>
      <c r="M295" s="663">
        <f t="shared" si="8"/>
        <v>0</v>
      </c>
      <c r="N295" s="672"/>
      <c r="O295" s="701">
        <f t="shared" si="20"/>
        <v>0</v>
      </c>
      <c r="P295" s="672"/>
      <c r="Q295" s="672"/>
      <c r="R295" s="672"/>
      <c r="S295" s="672"/>
      <c r="T295" s="672"/>
      <c r="XFC295" s="674">
        <f t="shared" si="19"/>
        <v>0</v>
      </c>
      <c r="XFD295" s="678">
        <f t="shared" si="21"/>
        <v>0</v>
      </c>
    </row>
    <row r="296" spans="1:20 16383:16384" s="674" customFormat="1" hidden="1" outlineLevel="1" x14ac:dyDescent="0.2">
      <c r="A296" s="291"/>
      <c r="B296" s="291"/>
      <c r="C296" s="637">
        <v>0</v>
      </c>
      <c r="D296" s="661"/>
      <c r="E296" s="644">
        <v>0</v>
      </c>
      <c r="F296" s="662"/>
      <c r="G296" s="662"/>
      <c r="H296" s="662"/>
      <c r="I296" s="646"/>
      <c r="J296" s="646"/>
      <c r="K296" s="646"/>
      <c r="L296" s="646">
        <f t="shared" si="18"/>
        <v>0</v>
      </c>
      <c r="M296" s="663">
        <f t="shared" si="8"/>
        <v>0</v>
      </c>
      <c r="N296" s="672"/>
      <c r="O296" s="701">
        <f t="shared" si="20"/>
        <v>0</v>
      </c>
      <c r="P296" s="672"/>
      <c r="Q296" s="672"/>
      <c r="R296" s="672"/>
      <c r="S296" s="672"/>
      <c r="T296" s="672"/>
      <c r="XFC296" s="674">
        <f t="shared" si="19"/>
        <v>0</v>
      </c>
      <c r="XFD296" s="678">
        <f t="shared" si="21"/>
        <v>0</v>
      </c>
    </row>
    <row r="297" spans="1:20 16383:16384" s="674" customFormat="1" hidden="1" outlineLevel="1" x14ac:dyDescent="0.2">
      <c r="A297" s="291"/>
      <c r="B297" s="291"/>
      <c r="C297" s="637">
        <v>0</v>
      </c>
      <c r="D297" s="661"/>
      <c r="E297" s="644">
        <v>0</v>
      </c>
      <c r="F297" s="662"/>
      <c r="G297" s="662"/>
      <c r="H297" s="662"/>
      <c r="I297" s="646"/>
      <c r="J297" s="646"/>
      <c r="K297" s="646"/>
      <c r="L297" s="646">
        <f t="shared" ref="L297:L360" si="22">IF(L296="","",L296)</f>
        <v>0</v>
      </c>
      <c r="M297" s="663">
        <f t="shared" si="8"/>
        <v>0</v>
      </c>
      <c r="N297" s="672"/>
      <c r="O297" s="701">
        <f t="shared" si="20"/>
        <v>0</v>
      </c>
      <c r="P297" s="672"/>
      <c r="Q297" s="672"/>
      <c r="R297" s="672"/>
      <c r="S297" s="672"/>
      <c r="T297" s="672"/>
      <c r="XFC297" s="674">
        <f t="shared" si="19"/>
        <v>0</v>
      </c>
      <c r="XFD297" s="678">
        <f t="shared" si="21"/>
        <v>0</v>
      </c>
    </row>
    <row r="298" spans="1:20 16383:16384" s="674" customFormat="1" hidden="1" outlineLevel="1" x14ac:dyDescent="0.2">
      <c r="A298" s="291"/>
      <c r="B298" s="291"/>
      <c r="C298" s="637">
        <v>0</v>
      </c>
      <c r="D298" s="661"/>
      <c r="E298" s="644">
        <v>0</v>
      </c>
      <c r="F298" s="662"/>
      <c r="G298" s="662"/>
      <c r="H298" s="662"/>
      <c r="I298" s="646"/>
      <c r="J298" s="646"/>
      <c r="K298" s="646"/>
      <c r="L298" s="646">
        <f t="shared" si="22"/>
        <v>0</v>
      </c>
      <c r="M298" s="663">
        <f t="shared" si="8"/>
        <v>0</v>
      </c>
      <c r="N298" s="672"/>
      <c r="O298" s="701">
        <f t="shared" si="20"/>
        <v>0</v>
      </c>
      <c r="P298" s="672"/>
      <c r="Q298" s="672"/>
      <c r="R298" s="672"/>
      <c r="S298" s="672"/>
      <c r="T298" s="672"/>
      <c r="XFC298" s="674">
        <f t="shared" si="19"/>
        <v>0</v>
      </c>
      <c r="XFD298" s="678">
        <f t="shared" si="21"/>
        <v>0</v>
      </c>
    </row>
    <row r="299" spans="1:20 16383:16384" s="674" customFormat="1" hidden="1" outlineLevel="1" x14ac:dyDescent="0.2">
      <c r="A299" s="291"/>
      <c r="B299" s="291"/>
      <c r="C299" s="637">
        <v>0</v>
      </c>
      <c r="D299" s="661"/>
      <c r="E299" s="644">
        <v>0</v>
      </c>
      <c r="F299" s="662"/>
      <c r="G299" s="662"/>
      <c r="H299" s="662"/>
      <c r="I299" s="646"/>
      <c r="J299" s="646"/>
      <c r="K299" s="646"/>
      <c r="L299" s="646">
        <f t="shared" si="22"/>
        <v>0</v>
      </c>
      <c r="M299" s="663">
        <f t="shared" si="8"/>
        <v>0</v>
      </c>
      <c r="N299" s="672"/>
      <c r="O299" s="701">
        <f t="shared" si="20"/>
        <v>0</v>
      </c>
      <c r="P299" s="672"/>
      <c r="Q299" s="672"/>
      <c r="R299" s="672"/>
      <c r="S299" s="672"/>
      <c r="T299" s="672"/>
      <c r="XFC299" s="674">
        <f t="shared" si="19"/>
        <v>0</v>
      </c>
      <c r="XFD299" s="678">
        <f t="shared" si="21"/>
        <v>0</v>
      </c>
    </row>
    <row r="300" spans="1:20 16383:16384" s="674" customFormat="1" hidden="1" outlineLevel="1" x14ac:dyDescent="0.2">
      <c r="A300" s="291"/>
      <c r="B300" s="291"/>
      <c r="C300" s="637">
        <v>0</v>
      </c>
      <c r="D300" s="661"/>
      <c r="E300" s="644">
        <v>0</v>
      </c>
      <c r="F300" s="662"/>
      <c r="G300" s="662"/>
      <c r="H300" s="662"/>
      <c r="I300" s="646"/>
      <c r="J300" s="646"/>
      <c r="K300" s="646"/>
      <c r="L300" s="646">
        <f t="shared" si="22"/>
        <v>0</v>
      </c>
      <c r="M300" s="663">
        <f t="shared" si="8"/>
        <v>0</v>
      </c>
      <c r="N300" s="672"/>
      <c r="O300" s="701">
        <f t="shared" si="20"/>
        <v>0</v>
      </c>
      <c r="P300" s="672"/>
      <c r="Q300" s="672"/>
      <c r="R300" s="672"/>
      <c r="S300" s="672"/>
      <c r="T300" s="672"/>
      <c r="XFC300" s="674">
        <f t="shared" si="19"/>
        <v>0</v>
      </c>
      <c r="XFD300" s="678">
        <f t="shared" si="21"/>
        <v>0</v>
      </c>
    </row>
    <row r="301" spans="1:20 16383:16384" s="674" customFormat="1" hidden="1" outlineLevel="1" x14ac:dyDescent="0.2">
      <c r="A301" s="291"/>
      <c r="B301" s="291"/>
      <c r="C301" s="637">
        <v>0</v>
      </c>
      <c r="D301" s="661"/>
      <c r="E301" s="644">
        <v>0</v>
      </c>
      <c r="F301" s="662"/>
      <c r="G301" s="662"/>
      <c r="H301" s="662"/>
      <c r="I301" s="646"/>
      <c r="J301" s="646"/>
      <c r="K301" s="646"/>
      <c r="L301" s="646">
        <f t="shared" si="22"/>
        <v>0</v>
      </c>
      <c r="M301" s="663">
        <f t="shared" si="8"/>
        <v>0</v>
      </c>
      <c r="N301" s="672"/>
      <c r="O301" s="701">
        <f t="shared" si="20"/>
        <v>0</v>
      </c>
      <c r="P301" s="672"/>
      <c r="Q301" s="672"/>
      <c r="R301" s="672"/>
      <c r="S301" s="672"/>
      <c r="T301" s="672"/>
      <c r="XFC301" s="674">
        <f t="shared" si="19"/>
        <v>0</v>
      </c>
      <c r="XFD301" s="678">
        <f t="shared" si="21"/>
        <v>0</v>
      </c>
    </row>
    <row r="302" spans="1:20 16383:16384" s="674" customFormat="1" hidden="1" outlineLevel="1" x14ac:dyDescent="0.2">
      <c r="A302" s="291"/>
      <c r="B302" s="291"/>
      <c r="C302" s="637">
        <v>0</v>
      </c>
      <c r="D302" s="661"/>
      <c r="E302" s="644">
        <v>0</v>
      </c>
      <c r="F302" s="662"/>
      <c r="G302" s="662"/>
      <c r="H302" s="662"/>
      <c r="I302" s="646"/>
      <c r="J302" s="646"/>
      <c r="K302" s="646"/>
      <c r="L302" s="646">
        <f t="shared" si="22"/>
        <v>0</v>
      </c>
      <c r="M302" s="663">
        <f t="shared" si="8"/>
        <v>0</v>
      </c>
      <c r="N302" s="672"/>
      <c r="O302" s="701">
        <f t="shared" si="20"/>
        <v>0</v>
      </c>
      <c r="P302" s="672"/>
      <c r="Q302" s="672"/>
      <c r="R302" s="672"/>
      <c r="S302" s="672"/>
      <c r="T302" s="672"/>
      <c r="XFC302" s="674">
        <f t="shared" si="19"/>
        <v>0</v>
      </c>
      <c r="XFD302" s="678">
        <f t="shared" si="21"/>
        <v>0</v>
      </c>
    </row>
    <row r="303" spans="1:20 16383:16384" s="674" customFormat="1" hidden="1" outlineLevel="1" x14ac:dyDescent="0.2">
      <c r="A303" s="291"/>
      <c r="B303" s="291"/>
      <c r="C303" s="637">
        <v>0</v>
      </c>
      <c r="D303" s="661"/>
      <c r="E303" s="644">
        <v>0</v>
      </c>
      <c r="F303" s="662"/>
      <c r="G303" s="662"/>
      <c r="H303" s="662"/>
      <c r="I303" s="646"/>
      <c r="J303" s="646"/>
      <c r="K303" s="646"/>
      <c r="L303" s="646">
        <f t="shared" si="22"/>
        <v>0</v>
      </c>
      <c r="M303" s="663">
        <f t="shared" si="8"/>
        <v>0</v>
      </c>
      <c r="N303" s="672"/>
      <c r="O303" s="701">
        <f t="shared" si="20"/>
        <v>0</v>
      </c>
      <c r="P303" s="672"/>
      <c r="Q303" s="672"/>
      <c r="R303" s="672"/>
      <c r="S303" s="672"/>
      <c r="T303" s="672"/>
      <c r="XFC303" s="674">
        <f t="shared" si="19"/>
        <v>0</v>
      </c>
      <c r="XFD303" s="678">
        <f t="shared" si="21"/>
        <v>0</v>
      </c>
    </row>
    <row r="304" spans="1:20 16383:16384" s="674" customFormat="1" hidden="1" outlineLevel="1" x14ac:dyDescent="0.2">
      <c r="A304" s="291"/>
      <c r="B304" s="291"/>
      <c r="C304" s="637">
        <v>0</v>
      </c>
      <c r="D304" s="661"/>
      <c r="E304" s="644">
        <v>0</v>
      </c>
      <c r="F304" s="662"/>
      <c r="G304" s="662"/>
      <c r="H304" s="662"/>
      <c r="I304" s="646"/>
      <c r="J304" s="646"/>
      <c r="K304" s="646"/>
      <c r="L304" s="646">
        <f t="shared" si="22"/>
        <v>0</v>
      </c>
      <c r="M304" s="663">
        <f t="shared" si="8"/>
        <v>0</v>
      </c>
      <c r="N304" s="672"/>
      <c r="O304" s="701">
        <f t="shared" si="20"/>
        <v>0</v>
      </c>
      <c r="P304" s="672"/>
      <c r="Q304" s="672"/>
      <c r="R304" s="672"/>
      <c r="S304" s="672"/>
      <c r="T304" s="672"/>
      <c r="XFC304" s="674">
        <f t="shared" si="19"/>
        <v>0</v>
      </c>
      <c r="XFD304" s="678">
        <f t="shared" si="21"/>
        <v>0</v>
      </c>
    </row>
    <row r="305" spans="1:20 16383:16384" s="674" customFormat="1" hidden="1" outlineLevel="1" x14ac:dyDescent="0.2">
      <c r="A305" s="291"/>
      <c r="B305" s="291"/>
      <c r="C305" s="637">
        <v>0</v>
      </c>
      <c r="D305" s="661"/>
      <c r="E305" s="644">
        <v>0</v>
      </c>
      <c r="F305" s="662"/>
      <c r="G305" s="662"/>
      <c r="H305" s="662"/>
      <c r="I305" s="646"/>
      <c r="J305" s="646"/>
      <c r="K305" s="646"/>
      <c r="L305" s="646">
        <f t="shared" si="22"/>
        <v>0</v>
      </c>
      <c r="M305" s="663">
        <f t="shared" si="8"/>
        <v>0</v>
      </c>
      <c r="N305" s="672"/>
      <c r="O305" s="701">
        <f t="shared" si="20"/>
        <v>0</v>
      </c>
      <c r="P305" s="672"/>
      <c r="Q305" s="672"/>
      <c r="R305" s="672"/>
      <c r="S305" s="672"/>
      <c r="T305" s="672"/>
      <c r="XFC305" s="674">
        <f t="shared" si="19"/>
        <v>0</v>
      </c>
      <c r="XFD305" s="678">
        <f t="shared" si="21"/>
        <v>0</v>
      </c>
    </row>
    <row r="306" spans="1:20 16383:16384" s="674" customFormat="1" hidden="1" outlineLevel="1" x14ac:dyDescent="0.2">
      <c r="A306" s="291"/>
      <c r="B306" s="291"/>
      <c r="C306" s="637">
        <v>0</v>
      </c>
      <c r="D306" s="661"/>
      <c r="E306" s="644">
        <v>0</v>
      </c>
      <c r="F306" s="662"/>
      <c r="G306" s="662"/>
      <c r="H306" s="662"/>
      <c r="I306" s="646"/>
      <c r="J306" s="646"/>
      <c r="K306" s="646"/>
      <c r="L306" s="646">
        <f t="shared" si="22"/>
        <v>0</v>
      </c>
      <c r="M306" s="663">
        <f t="shared" si="8"/>
        <v>0</v>
      </c>
      <c r="N306" s="672"/>
      <c r="O306" s="701">
        <f t="shared" si="20"/>
        <v>0</v>
      </c>
      <c r="P306" s="672"/>
      <c r="Q306" s="672"/>
      <c r="R306" s="672"/>
      <c r="S306" s="672"/>
      <c r="T306" s="672"/>
      <c r="XFC306" s="674">
        <f t="shared" si="19"/>
        <v>0</v>
      </c>
      <c r="XFD306" s="678">
        <f t="shared" si="21"/>
        <v>0</v>
      </c>
    </row>
    <row r="307" spans="1:20 16383:16384" s="674" customFormat="1" hidden="1" outlineLevel="1" x14ac:dyDescent="0.2">
      <c r="A307" s="291"/>
      <c r="B307" s="291"/>
      <c r="C307" s="637">
        <v>0</v>
      </c>
      <c r="D307" s="661"/>
      <c r="E307" s="644">
        <v>0</v>
      </c>
      <c r="F307" s="662"/>
      <c r="G307" s="662"/>
      <c r="H307" s="662"/>
      <c r="I307" s="646"/>
      <c r="J307" s="646"/>
      <c r="K307" s="646"/>
      <c r="L307" s="646">
        <f t="shared" si="22"/>
        <v>0</v>
      </c>
      <c r="M307" s="663">
        <f t="shared" si="8"/>
        <v>0</v>
      </c>
      <c r="N307" s="672"/>
      <c r="O307" s="701">
        <f t="shared" si="20"/>
        <v>0</v>
      </c>
      <c r="P307" s="672"/>
      <c r="Q307" s="672"/>
      <c r="R307" s="672"/>
      <c r="S307" s="672"/>
      <c r="T307" s="672"/>
      <c r="XFC307" s="674">
        <f t="shared" si="19"/>
        <v>0</v>
      </c>
      <c r="XFD307" s="678">
        <f t="shared" si="21"/>
        <v>0</v>
      </c>
    </row>
    <row r="308" spans="1:20 16383:16384" s="674" customFormat="1" hidden="1" outlineLevel="1" x14ac:dyDescent="0.2">
      <c r="A308" s="291"/>
      <c r="B308" s="291"/>
      <c r="C308" s="637">
        <v>0</v>
      </c>
      <c r="D308" s="661"/>
      <c r="E308" s="644">
        <v>0</v>
      </c>
      <c r="F308" s="662"/>
      <c r="G308" s="662"/>
      <c r="H308" s="662"/>
      <c r="I308" s="646"/>
      <c r="J308" s="646"/>
      <c r="K308" s="646"/>
      <c r="L308" s="646">
        <f t="shared" si="22"/>
        <v>0</v>
      </c>
      <c r="M308" s="663">
        <f t="shared" si="8"/>
        <v>0</v>
      </c>
      <c r="N308" s="672"/>
      <c r="O308" s="701">
        <f t="shared" si="20"/>
        <v>0</v>
      </c>
      <c r="P308" s="672"/>
      <c r="Q308" s="672"/>
      <c r="R308" s="672"/>
      <c r="S308" s="672"/>
      <c r="T308" s="672"/>
      <c r="XFC308" s="674">
        <f t="shared" si="19"/>
        <v>0</v>
      </c>
      <c r="XFD308" s="678">
        <f t="shared" si="21"/>
        <v>0</v>
      </c>
    </row>
    <row r="309" spans="1:20 16383:16384" s="674" customFormat="1" hidden="1" outlineLevel="1" x14ac:dyDescent="0.2">
      <c r="A309" s="291"/>
      <c r="B309" s="291"/>
      <c r="C309" s="637">
        <v>0</v>
      </c>
      <c r="D309" s="661"/>
      <c r="E309" s="644">
        <v>0</v>
      </c>
      <c r="F309" s="662"/>
      <c r="G309" s="662"/>
      <c r="H309" s="662"/>
      <c r="I309" s="646"/>
      <c r="J309" s="646"/>
      <c r="K309" s="646"/>
      <c r="L309" s="646">
        <f t="shared" si="22"/>
        <v>0</v>
      </c>
      <c r="M309" s="663">
        <f t="shared" si="8"/>
        <v>0</v>
      </c>
      <c r="N309" s="672"/>
      <c r="O309" s="701">
        <f t="shared" si="20"/>
        <v>0</v>
      </c>
      <c r="P309" s="672"/>
      <c r="Q309" s="672"/>
      <c r="R309" s="672"/>
      <c r="S309" s="672"/>
      <c r="T309" s="672"/>
      <c r="XFC309" s="674">
        <f t="shared" si="19"/>
        <v>0</v>
      </c>
      <c r="XFD309" s="678">
        <f t="shared" si="21"/>
        <v>0</v>
      </c>
    </row>
    <row r="310" spans="1:20 16383:16384" s="674" customFormat="1" hidden="1" outlineLevel="1" x14ac:dyDescent="0.2">
      <c r="A310" s="291"/>
      <c r="B310" s="291"/>
      <c r="C310" s="637">
        <v>0</v>
      </c>
      <c r="D310" s="661"/>
      <c r="E310" s="644">
        <v>0</v>
      </c>
      <c r="F310" s="662"/>
      <c r="G310" s="662"/>
      <c r="H310" s="662"/>
      <c r="I310" s="646"/>
      <c r="J310" s="646"/>
      <c r="K310" s="646"/>
      <c r="L310" s="646">
        <f t="shared" si="22"/>
        <v>0</v>
      </c>
      <c r="M310" s="663">
        <f t="shared" si="8"/>
        <v>0</v>
      </c>
      <c r="N310" s="672"/>
      <c r="O310" s="701">
        <f t="shared" si="20"/>
        <v>0</v>
      </c>
      <c r="P310" s="672"/>
      <c r="Q310" s="672"/>
      <c r="R310" s="672"/>
      <c r="S310" s="672"/>
      <c r="T310" s="672"/>
      <c r="XFC310" s="674">
        <f t="shared" si="19"/>
        <v>0</v>
      </c>
      <c r="XFD310" s="678">
        <f t="shared" si="21"/>
        <v>0</v>
      </c>
    </row>
    <row r="311" spans="1:20 16383:16384" s="674" customFormat="1" hidden="1" outlineLevel="1" x14ac:dyDescent="0.2">
      <c r="A311" s="291"/>
      <c r="B311" s="291"/>
      <c r="C311" s="637">
        <v>0</v>
      </c>
      <c r="D311" s="661"/>
      <c r="E311" s="644">
        <v>0</v>
      </c>
      <c r="F311" s="662"/>
      <c r="G311" s="662"/>
      <c r="H311" s="662"/>
      <c r="I311" s="646"/>
      <c r="J311" s="646"/>
      <c r="K311" s="646"/>
      <c r="L311" s="646">
        <f t="shared" si="22"/>
        <v>0</v>
      </c>
      <c r="M311" s="663">
        <f t="shared" si="8"/>
        <v>0</v>
      </c>
      <c r="N311" s="672"/>
      <c r="O311" s="701">
        <f t="shared" si="20"/>
        <v>0</v>
      </c>
      <c r="P311" s="672"/>
      <c r="Q311" s="672"/>
      <c r="R311" s="672"/>
      <c r="S311" s="672"/>
      <c r="T311" s="672"/>
      <c r="XFC311" s="674">
        <f t="shared" si="19"/>
        <v>0</v>
      </c>
      <c r="XFD311" s="678">
        <f t="shared" si="21"/>
        <v>0</v>
      </c>
    </row>
    <row r="312" spans="1:20 16383:16384" s="674" customFormat="1" hidden="1" outlineLevel="1" x14ac:dyDescent="0.2">
      <c r="A312" s="291"/>
      <c r="B312" s="291"/>
      <c r="C312" s="637">
        <v>0</v>
      </c>
      <c r="D312" s="661"/>
      <c r="E312" s="644">
        <v>0</v>
      </c>
      <c r="F312" s="662"/>
      <c r="G312" s="662"/>
      <c r="H312" s="662"/>
      <c r="I312" s="646"/>
      <c r="J312" s="646"/>
      <c r="K312" s="646"/>
      <c r="L312" s="646">
        <f t="shared" si="22"/>
        <v>0</v>
      </c>
      <c r="M312" s="663">
        <f t="shared" si="8"/>
        <v>0</v>
      </c>
      <c r="N312" s="672"/>
      <c r="O312" s="701">
        <f t="shared" si="20"/>
        <v>0</v>
      </c>
      <c r="P312" s="672"/>
      <c r="Q312" s="672"/>
      <c r="R312" s="672"/>
      <c r="S312" s="672"/>
      <c r="T312" s="672"/>
      <c r="XFC312" s="674">
        <f t="shared" si="19"/>
        <v>0</v>
      </c>
      <c r="XFD312" s="678">
        <f t="shared" si="21"/>
        <v>0</v>
      </c>
    </row>
    <row r="313" spans="1:20 16383:16384" s="674" customFormat="1" hidden="1" outlineLevel="1" x14ac:dyDescent="0.2">
      <c r="A313" s="291"/>
      <c r="B313" s="291"/>
      <c r="C313" s="637">
        <v>0</v>
      </c>
      <c r="D313" s="661"/>
      <c r="E313" s="644">
        <v>0</v>
      </c>
      <c r="F313" s="662"/>
      <c r="G313" s="662"/>
      <c r="H313" s="662"/>
      <c r="I313" s="646"/>
      <c r="J313" s="646"/>
      <c r="K313" s="646"/>
      <c r="L313" s="646">
        <f t="shared" si="22"/>
        <v>0</v>
      </c>
      <c r="M313" s="663">
        <f t="shared" si="8"/>
        <v>0</v>
      </c>
      <c r="N313" s="672"/>
      <c r="O313" s="701">
        <f t="shared" si="20"/>
        <v>0</v>
      </c>
      <c r="P313" s="672"/>
      <c r="Q313" s="672"/>
      <c r="R313" s="672"/>
      <c r="S313" s="672"/>
      <c r="T313" s="672"/>
      <c r="XFC313" s="674">
        <f t="shared" si="19"/>
        <v>0</v>
      </c>
      <c r="XFD313" s="678">
        <f t="shared" si="21"/>
        <v>0</v>
      </c>
    </row>
    <row r="314" spans="1:20 16383:16384" s="674" customFormat="1" hidden="1" outlineLevel="1" x14ac:dyDescent="0.2">
      <c r="A314" s="291"/>
      <c r="B314" s="291"/>
      <c r="C314" s="637">
        <v>0</v>
      </c>
      <c r="D314" s="661"/>
      <c r="E314" s="644">
        <v>0</v>
      </c>
      <c r="F314" s="662"/>
      <c r="G314" s="662"/>
      <c r="H314" s="662"/>
      <c r="I314" s="646"/>
      <c r="J314" s="646"/>
      <c r="K314" s="646"/>
      <c r="L314" s="646">
        <f t="shared" si="22"/>
        <v>0</v>
      </c>
      <c r="M314" s="663">
        <f t="shared" si="8"/>
        <v>0</v>
      </c>
      <c r="N314" s="672"/>
      <c r="O314" s="701">
        <f t="shared" si="20"/>
        <v>0</v>
      </c>
      <c r="P314" s="672"/>
      <c r="Q314" s="672"/>
      <c r="R314" s="672"/>
      <c r="S314" s="672"/>
      <c r="T314" s="672"/>
      <c r="XFC314" s="674">
        <f t="shared" si="19"/>
        <v>0</v>
      </c>
      <c r="XFD314" s="678">
        <f t="shared" si="21"/>
        <v>0</v>
      </c>
    </row>
    <row r="315" spans="1:20 16383:16384" s="674" customFormat="1" hidden="1" outlineLevel="1" x14ac:dyDescent="0.2">
      <c r="A315" s="291"/>
      <c r="B315" s="291"/>
      <c r="C315" s="637">
        <v>0</v>
      </c>
      <c r="D315" s="661"/>
      <c r="E315" s="644">
        <v>0</v>
      </c>
      <c r="F315" s="662"/>
      <c r="G315" s="662"/>
      <c r="H315" s="662"/>
      <c r="I315" s="646"/>
      <c r="J315" s="646"/>
      <c r="K315" s="646"/>
      <c r="L315" s="646">
        <f t="shared" si="22"/>
        <v>0</v>
      </c>
      <c r="M315" s="663">
        <f t="shared" si="8"/>
        <v>0</v>
      </c>
      <c r="N315" s="672"/>
      <c r="O315" s="701">
        <f t="shared" si="20"/>
        <v>0</v>
      </c>
      <c r="P315" s="672"/>
      <c r="Q315" s="672"/>
      <c r="R315" s="672"/>
      <c r="S315" s="672"/>
      <c r="T315" s="672"/>
      <c r="XFC315" s="674">
        <f t="shared" si="19"/>
        <v>0</v>
      </c>
      <c r="XFD315" s="678">
        <f t="shared" si="21"/>
        <v>0</v>
      </c>
    </row>
    <row r="316" spans="1:20 16383:16384" s="674" customFormat="1" hidden="1" outlineLevel="1" x14ac:dyDescent="0.2">
      <c r="A316" s="291"/>
      <c r="B316" s="291"/>
      <c r="C316" s="637">
        <v>0</v>
      </c>
      <c r="D316" s="661"/>
      <c r="E316" s="644">
        <v>0</v>
      </c>
      <c r="F316" s="662"/>
      <c r="G316" s="662"/>
      <c r="H316" s="662"/>
      <c r="I316" s="646"/>
      <c r="J316" s="646"/>
      <c r="K316" s="646"/>
      <c r="L316" s="646">
        <f t="shared" si="22"/>
        <v>0</v>
      </c>
      <c r="M316" s="663">
        <f t="shared" si="8"/>
        <v>0</v>
      </c>
      <c r="N316" s="672"/>
      <c r="O316" s="701">
        <f t="shared" si="20"/>
        <v>0</v>
      </c>
      <c r="P316" s="672"/>
      <c r="Q316" s="672"/>
      <c r="R316" s="672"/>
      <c r="S316" s="672"/>
      <c r="T316" s="672"/>
      <c r="XFC316" s="674">
        <f t="shared" si="19"/>
        <v>0</v>
      </c>
      <c r="XFD316" s="678">
        <f t="shared" si="21"/>
        <v>0</v>
      </c>
    </row>
    <row r="317" spans="1:20 16383:16384" s="674" customFormat="1" hidden="1" outlineLevel="1" x14ac:dyDescent="0.2">
      <c r="A317" s="291"/>
      <c r="B317" s="291"/>
      <c r="C317" s="637">
        <v>0</v>
      </c>
      <c r="D317" s="661"/>
      <c r="E317" s="644">
        <v>0</v>
      </c>
      <c r="F317" s="662"/>
      <c r="G317" s="662"/>
      <c r="H317" s="662"/>
      <c r="I317" s="646"/>
      <c r="J317" s="646"/>
      <c r="K317" s="646"/>
      <c r="L317" s="646">
        <f t="shared" si="22"/>
        <v>0</v>
      </c>
      <c r="M317" s="663">
        <f t="shared" si="8"/>
        <v>0</v>
      </c>
      <c r="N317" s="672"/>
      <c r="O317" s="701">
        <f t="shared" si="20"/>
        <v>0</v>
      </c>
      <c r="P317" s="672"/>
      <c r="Q317" s="672"/>
      <c r="R317" s="672"/>
      <c r="S317" s="672"/>
      <c r="T317" s="672"/>
      <c r="XFC317" s="674">
        <f t="shared" si="19"/>
        <v>0</v>
      </c>
      <c r="XFD317" s="678">
        <f t="shared" si="21"/>
        <v>0</v>
      </c>
    </row>
    <row r="318" spans="1:20 16383:16384" s="674" customFormat="1" hidden="1" outlineLevel="1" x14ac:dyDescent="0.2">
      <c r="A318" s="291"/>
      <c r="B318" s="291"/>
      <c r="C318" s="637">
        <v>0</v>
      </c>
      <c r="D318" s="661"/>
      <c r="E318" s="644">
        <v>0</v>
      </c>
      <c r="F318" s="662"/>
      <c r="G318" s="662"/>
      <c r="H318" s="662"/>
      <c r="I318" s="646"/>
      <c r="J318" s="646"/>
      <c r="K318" s="646"/>
      <c r="L318" s="646">
        <f t="shared" si="22"/>
        <v>0</v>
      </c>
      <c r="M318" s="663">
        <f t="shared" si="8"/>
        <v>0</v>
      </c>
      <c r="N318" s="672"/>
      <c r="O318" s="701">
        <f t="shared" si="20"/>
        <v>0</v>
      </c>
      <c r="P318" s="672"/>
      <c r="Q318" s="672"/>
      <c r="R318" s="672"/>
      <c r="S318" s="672"/>
      <c r="T318" s="672"/>
      <c r="XFC318" s="674">
        <f t="shared" si="19"/>
        <v>0</v>
      </c>
      <c r="XFD318" s="678">
        <f t="shared" si="21"/>
        <v>0</v>
      </c>
    </row>
    <row r="319" spans="1:20 16383:16384" s="674" customFormat="1" hidden="1" outlineLevel="1" x14ac:dyDescent="0.2">
      <c r="A319" s="291"/>
      <c r="B319" s="291"/>
      <c r="C319" s="637">
        <v>0</v>
      </c>
      <c r="D319" s="661"/>
      <c r="E319" s="644">
        <v>0</v>
      </c>
      <c r="F319" s="662"/>
      <c r="G319" s="662"/>
      <c r="H319" s="662"/>
      <c r="I319" s="646"/>
      <c r="J319" s="646"/>
      <c r="K319" s="646"/>
      <c r="L319" s="646">
        <f t="shared" si="22"/>
        <v>0</v>
      </c>
      <c r="M319" s="663">
        <f t="shared" si="8"/>
        <v>0</v>
      </c>
      <c r="N319" s="672"/>
      <c r="O319" s="701">
        <f t="shared" si="20"/>
        <v>0</v>
      </c>
      <c r="P319" s="672"/>
      <c r="Q319" s="672"/>
      <c r="R319" s="672"/>
      <c r="S319" s="672"/>
      <c r="T319" s="672"/>
      <c r="XFC319" s="674">
        <f t="shared" si="19"/>
        <v>0</v>
      </c>
      <c r="XFD319" s="678">
        <f t="shared" si="21"/>
        <v>0</v>
      </c>
    </row>
    <row r="320" spans="1:20 16383:16384" s="674" customFormat="1" hidden="1" outlineLevel="1" x14ac:dyDescent="0.2">
      <c r="A320" s="291"/>
      <c r="B320" s="291"/>
      <c r="C320" s="637">
        <v>0</v>
      </c>
      <c r="D320" s="661"/>
      <c r="E320" s="644">
        <v>0</v>
      </c>
      <c r="F320" s="662"/>
      <c r="G320" s="662"/>
      <c r="H320" s="662"/>
      <c r="I320" s="646"/>
      <c r="J320" s="646"/>
      <c r="K320" s="646"/>
      <c r="L320" s="646">
        <f t="shared" si="22"/>
        <v>0</v>
      </c>
      <c r="M320" s="663">
        <f t="shared" si="8"/>
        <v>0</v>
      </c>
      <c r="N320" s="672"/>
      <c r="O320" s="701">
        <f t="shared" si="20"/>
        <v>0</v>
      </c>
      <c r="P320" s="672"/>
      <c r="Q320" s="672"/>
      <c r="R320" s="672"/>
      <c r="S320" s="672"/>
      <c r="T320" s="672"/>
      <c r="XFC320" s="674">
        <f t="shared" si="19"/>
        <v>0</v>
      </c>
      <c r="XFD320" s="678">
        <f t="shared" si="21"/>
        <v>0</v>
      </c>
    </row>
    <row r="321" spans="1:20 16383:16384" s="674" customFormat="1" hidden="1" outlineLevel="1" x14ac:dyDescent="0.2">
      <c r="A321" s="291"/>
      <c r="B321" s="291"/>
      <c r="C321" s="637">
        <v>0</v>
      </c>
      <c r="D321" s="661"/>
      <c r="E321" s="644">
        <v>0</v>
      </c>
      <c r="F321" s="662"/>
      <c r="G321" s="662"/>
      <c r="H321" s="662"/>
      <c r="I321" s="646"/>
      <c r="J321" s="646"/>
      <c r="K321" s="646"/>
      <c r="L321" s="646">
        <f t="shared" si="22"/>
        <v>0</v>
      </c>
      <c r="M321" s="663">
        <f t="shared" si="8"/>
        <v>0</v>
      </c>
      <c r="N321" s="672"/>
      <c r="O321" s="701">
        <f t="shared" si="20"/>
        <v>0</v>
      </c>
      <c r="P321" s="672"/>
      <c r="Q321" s="672"/>
      <c r="R321" s="672"/>
      <c r="S321" s="672"/>
      <c r="T321" s="672"/>
      <c r="XFC321" s="674">
        <f t="shared" si="19"/>
        <v>0</v>
      </c>
      <c r="XFD321" s="678">
        <f t="shared" si="21"/>
        <v>0</v>
      </c>
    </row>
    <row r="322" spans="1:20 16383:16384" s="674" customFormat="1" hidden="1" outlineLevel="1" x14ac:dyDescent="0.2">
      <c r="A322" s="291"/>
      <c r="B322" s="291"/>
      <c r="C322" s="637">
        <v>0</v>
      </c>
      <c r="D322" s="661"/>
      <c r="E322" s="644">
        <v>0</v>
      </c>
      <c r="F322" s="662"/>
      <c r="G322" s="662"/>
      <c r="H322" s="662"/>
      <c r="I322" s="646"/>
      <c r="J322" s="646"/>
      <c r="K322" s="646"/>
      <c r="L322" s="646">
        <f t="shared" si="22"/>
        <v>0</v>
      </c>
      <c r="M322" s="663">
        <f t="shared" si="8"/>
        <v>0</v>
      </c>
      <c r="N322" s="672"/>
      <c r="O322" s="701">
        <f t="shared" si="20"/>
        <v>0</v>
      </c>
      <c r="P322" s="672"/>
      <c r="Q322" s="672"/>
      <c r="R322" s="672"/>
      <c r="S322" s="672"/>
      <c r="T322" s="672"/>
      <c r="XFC322" s="674">
        <f t="shared" si="19"/>
        <v>0</v>
      </c>
      <c r="XFD322" s="678">
        <f t="shared" si="21"/>
        <v>0</v>
      </c>
    </row>
    <row r="323" spans="1:20 16383:16384" s="674" customFormat="1" hidden="1" outlineLevel="1" x14ac:dyDescent="0.2">
      <c r="A323" s="291"/>
      <c r="B323" s="291"/>
      <c r="C323" s="637">
        <v>0</v>
      </c>
      <c r="D323" s="661"/>
      <c r="E323" s="644">
        <v>0</v>
      </c>
      <c r="F323" s="662"/>
      <c r="G323" s="662"/>
      <c r="H323" s="662"/>
      <c r="I323" s="646"/>
      <c r="J323" s="646"/>
      <c r="K323" s="646"/>
      <c r="L323" s="646">
        <f t="shared" si="22"/>
        <v>0</v>
      </c>
      <c r="M323" s="663">
        <f t="shared" si="8"/>
        <v>0</v>
      </c>
      <c r="N323" s="672"/>
      <c r="O323" s="701">
        <f t="shared" si="20"/>
        <v>0</v>
      </c>
      <c r="P323" s="672"/>
      <c r="Q323" s="672"/>
      <c r="R323" s="672"/>
      <c r="S323" s="672"/>
      <c r="T323" s="672"/>
      <c r="XFC323" s="674">
        <f t="shared" si="19"/>
        <v>0</v>
      </c>
      <c r="XFD323" s="678">
        <f t="shared" si="21"/>
        <v>0</v>
      </c>
    </row>
    <row r="324" spans="1:20 16383:16384" s="674" customFormat="1" hidden="1" outlineLevel="1" x14ac:dyDescent="0.2">
      <c r="A324" s="291"/>
      <c r="B324" s="291"/>
      <c r="C324" s="637">
        <v>0</v>
      </c>
      <c r="D324" s="661"/>
      <c r="E324" s="644">
        <v>0</v>
      </c>
      <c r="F324" s="662"/>
      <c r="G324" s="662"/>
      <c r="H324" s="662"/>
      <c r="I324" s="646"/>
      <c r="J324" s="646"/>
      <c r="K324" s="646"/>
      <c r="L324" s="646">
        <f t="shared" si="22"/>
        <v>0</v>
      </c>
      <c r="M324" s="663">
        <f t="shared" si="8"/>
        <v>0</v>
      </c>
      <c r="N324" s="672"/>
      <c r="O324" s="701">
        <f t="shared" si="20"/>
        <v>0</v>
      </c>
      <c r="P324" s="672"/>
      <c r="Q324" s="672"/>
      <c r="R324" s="672"/>
      <c r="S324" s="672"/>
      <c r="T324" s="672"/>
      <c r="XFC324" s="674">
        <f t="shared" si="19"/>
        <v>0</v>
      </c>
      <c r="XFD324" s="678">
        <f t="shared" si="21"/>
        <v>0</v>
      </c>
    </row>
    <row r="325" spans="1:20 16383:16384" s="674" customFormat="1" hidden="1" outlineLevel="1" x14ac:dyDescent="0.2">
      <c r="A325" s="291"/>
      <c r="B325" s="291"/>
      <c r="C325" s="637">
        <v>0</v>
      </c>
      <c r="D325" s="661"/>
      <c r="E325" s="644">
        <v>0</v>
      </c>
      <c r="F325" s="662"/>
      <c r="G325" s="662"/>
      <c r="H325" s="662"/>
      <c r="I325" s="646"/>
      <c r="J325" s="646"/>
      <c r="K325" s="646"/>
      <c r="L325" s="646">
        <f t="shared" si="22"/>
        <v>0</v>
      </c>
      <c r="M325" s="663">
        <f t="shared" si="8"/>
        <v>0</v>
      </c>
      <c r="N325" s="672"/>
      <c r="O325" s="701">
        <f t="shared" si="20"/>
        <v>0</v>
      </c>
      <c r="P325" s="672"/>
      <c r="Q325" s="672"/>
      <c r="R325" s="672"/>
      <c r="S325" s="672"/>
      <c r="T325" s="672"/>
      <c r="XFC325" s="674">
        <f t="shared" si="19"/>
        <v>0</v>
      </c>
      <c r="XFD325" s="678">
        <f t="shared" si="21"/>
        <v>0</v>
      </c>
    </row>
    <row r="326" spans="1:20 16383:16384" s="674" customFormat="1" hidden="1" outlineLevel="1" x14ac:dyDescent="0.2">
      <c r="A326" s="291"/>
      <c r="B326" s="291"/>
      <c r="C326" s="637">
        <v>0</v>
      </c>
      <c r="D326" s="661"/>
      <c r="E326" s="644">
        <v>0</v>
      </c>
      <c r="F326" s="662"/>
      <c r="G326" s="662"/>
      <c r="H326" s="662"/>
      <c r="I326" s="646"/>
      <c r="J326" s="646"/>
      <c r="K326" s="646"/>
      <c r="L326" s="646">
        <f t="shared" si="22"/>
        <v>0</v>
      </c>
      <c r="M326" s="663">
        <f t="shared" si="8"/>
        <v>0</v>
      </c>
      <c r="N326" s="672"/>
      <c r="O326" s="701">
        <f t="shared" si="20"/>
        <v>0</v>
      </c>
      <c r="P326" s="672"/>
      <c r="Q326" s="672"/>
      <c r="R326" s="672"/>
      <c r="S326" s="672"/>
      <c r="T326" s="672"/>
      <c r="XFC326" s="674">
        <f t="shared" si="19"/>
        <v>0</v>
      </c>
      <c r="XFD326" s="678">
        <f t="shared" si="21"/>
        <v>0</v>
      </c>
    </row>
    <row r="327" spans="1:20 16383:16384" s="674" customFormat="1" hidden="1" outlineLevel="1" x14ac:dyDescent="0.2">
      <c r="A327" s="291"/>
      <c r="B327" s="291"/>
      <c r="C327" s="637">
        <v>0</v>
      </c>
      <c r="D327" s="661"/>
      <c r="E327" s="644">
        <v>0</v>
      </c>
      <c r="F327" s="662"/>
      <c r="G327" s="662"/>
      <c r="H327" s="662"/>
      <c r="I327" s="646"/>
      <c r="J327" s="646"/>
      <c r="K327" s="646"/>
      <c r="L327" s="646">
        <f t="shared" si="22"/>
        <v>0</v>
      </c>
      <c r="M327" s="663">
        <f t="shared" si="8"/>
        <v>0</v>
      </c>
      <c r="N327" s="672"/>
      <c r="O327" s="701">
        <f t="shared" si="20"/>
        <v>0</v>
      </c>
      <c r="P327" s="672"/>
      <c r="Q327" s="672"/>
      <c r="R327" s="672"/>
      <c r="S327" s="672"/>
      <c r="T327" s="672"/>
      <c r="XFC327" s="674">
        <f t="shared" si="19"/>
        <v>0</v>
      </c>
      <c r="XFD327" s="678">
        <f t="shared" si="21"/>
        <v>0</v>
      </c>
    </row>
    <row r="328" spans="1:20 16383:16384" s="674" customFormat="1" hidden="1" outlineLevel="1" x14ac:dyDescent="0.2">
      <c r="A328" s="291"/>
      <c r="B328" s="291"/>
      <c r="C328" s="637">
        <v>0</v>
      </c>
      <c r="D328" s="661"/>
      <c r="E328" s="644">
        <v>0</v>
      </c>
      <c r="F328" s="662"/>
      <c r="G328" s="662"/>
      <c r="H328" s="662"/>
      <c r="I328" s="646"/>
      <c r="J328" s="646"/>
      <c r="K328" s="646"/>
      <c r="L328" s="646">
        <f t="shared" si="22"/>
        <v>0</v>
      </c>
      <c r="M328" s="663">
        <f t="shared" si="8"/>
        <v>0</v>
      </c>
      <c r="N328" s="672"/>
      <c r="O328" s="701">
        <f t="shared" si="20"/>
        <v>0</v>
      </c>
      <c r="P328" s="672"/>
      <c r="Q328" s="672"/>
      <c r="R328" s="672"/>
      <c r="S328" s="672"/>
      <c r="T328" s="672"/>
      <c r="XFC328" s="674">
        <f t="shared" si="19"/>
        <v>0</v>
      </c>
      <c r="XFD328" s="678">
        <f t="shared" si="21"/>
        <v>0</v>
      </c>
    </row>
    <row r="329" spans="1:20 16383:16384" s="674" customFormat="1" hidden="1" outlineLevel="1" x14ac:dyDescent="0.2">
      <c r="A329" s="291"/>
      <c r="B329" s="291"/>
      <c r="C329" s="637">
        <v>0</v>
      </c>
      <c r="D329" s="661"/>
      <c r="E329" s="644">
        <v>0</v>
      </c>
      <c r="F329" s="662"/>
      <c r="G329" s="662"/>
      <c r="H329" s="662"/>
      <c r="I329" s="646"/>
      <c r="J329" s="646"/>
      <c r="K329" s="646"/>
      <c r="L329" s="646">
        <f t="shared" si="22"/>
        <v>0</v>
      </c>
      <c r="M329" s="663">
        <f t="shared" si="8"/>
        <v>0</v>
      </c>
      <c r="N329" s="672"/>
      <c r="O329" s="701">
        <f t="shared" si="20"/>
        <v>0</v>
      </c>
      <c r="P329" s="672"/>
      <c r="Q329" s="672"/>
      <c r="R329" s="672"/>
      <c r="S329" s="672"/>
      <c r="T329" s="672"/>
      <c r="XFC329" s="674">
        <f t="shared" si="19"/>
        <v>0</v>
      </c>
      <c r="XFD329" s="678">
        <f t="shared" si="21"/>
        <v>0</v>
      </c>
    </row>
    <row r="330" spans="1:20 16383:16384" s="674" customFormat="1" hidden="1" outlineLevel="1" x14ac:dyDescent="0.2">
      <c r="A330" s="291"/>
      <c r="B330" s="291"/>
      <c r="C330" s="637">
        <v>0</v>
      </c>
      <c r="D330" s="661"/>
      <c r="E330" s="644">
        <v>0</v>
      </c>
      <c r="F330" s="662"/>
      <c r="G330" s="662"/>
      <c r="H330" s="662"/>
      <c r="I330" s="646"/>
      <c r="J330" s="646"/>
      <c r="K330" s="646"/>
      <c r="L330" s="646">
        <f t="shared" si="22"/>
        <v>0</v>
      </c>
      <c r="M330" s="663">
        <f t="shared" si="8"/>
        <v>0</v>
      </c>
      <c r="N330" s="672"/>
      <c r="O330" s="701">
        <f t="shared" si="20"/>
        <v>0</v>
      </c>
      <c r="P330" s="672"/>
      <c r="Q330" s="672"/>
      <c r="R330" s="672"/>
      <c r="S330" s="672"/>
      <c r="T330" s="672"/>
      <c r="XFC330" s="674">
        <f t="shared" si="19"/>
        <v>0</v>
      </c>
      <c r="XFD330" s="678">
        <f t="shared" si="21"/>
        <v>0</v>
      </c>
    </row>
    <row r="331" spans="1:20 16383:16384" s="674" customFormat="1" hidden="1" outlineLevel="1" x14ac:dyDescent="0.2">
      <c r="A331" s="291"/>
      <c r="B331" s="291"/>
      <c r="C331" s="637">
        <v>0</v>
      </c>
      <c r="D331" s="661"/>
      <c r="E331" s="644">
        <v>0</v>
      </c>
      <c r="F331" s="662"/>
      <c r="G331" s="662"/>
      <c r="H331" s="662"/>
      <c r="I331" s="646"/>
      <c r="J331" s="646"/>
      <c r="K331" s="646"/>
      <c r="L331" s="646">
        <f t="shared" si="22"/>
        <v>0</v>
      </c>
      <c r="M331" s="663">
        <f t="shared" si="8"/>
        <v>0</v>
      </c>
      <c r="N331" s="672"/>
      <c r="O331" s="701">
        <f t="shared" si="20"/>
        <v>0</v>
      </c>
      <c r="P331" s="672"/>
      <c r="Q331" s="672"/>
      <c r="R331" s="672"/>
      <c r="S331" s="672"/>
      <c r="T331" s="672"/>
      <c r="XFC331" s="674">
        <f t="shared" si="19"/>
        <v>0</v>
      </c>
      <c r="XFD331" s="678">
        <f t="shared" si="21"/>
        <v>0</v>
      </c>
    </row>
    <row r="332" spans="1:20 16383:16384" s="674" customFormat="1" hidden="1" outlineLevel="1" x14ac:dyDescent="0.2">
      <c r="A332" s="291"/>
      <c r="B332" s="291"/>
      <c r="C332" s="637">
        <v>0</v>
      </c>
      <c r="D332" s="661"/>
      <c r="E332" s="644">
        <v>0</v>
      </c>
      <c r="F332" s="662"/>
      <c r="G332" s="662"/>
      <c r="H332" s="662"/>
      <c r="I332" s="646"/>
      <c r="J332" s="646"/>
      <c r="K332" s="646"/>
      <c r="L332" s="646">
        <f t="shared" si="22"/>
        <v>0</v>
      </c>
      <c r="M332" s="663">
        <f t="shared" si="8"/>
        <v>0</v>
      </c>
      <c r="N332" s="672"/>
      <c r="O332" s="701">
        <f t="shared" si="20"/>
        <v>0</v>
      </c>
      <c r="P332" s="672"/>
      <c r="Q332" s="672"/>
      <c r="R332" s="672"/>
      <c r="S332" s="672"/>
      <c r="T332" s="672"/>
      <c r="XFC332" s="674">
        <f t="shared" si="19"/>
        <v>0</v>
      </c>
      <c r="XFD332" s="678">
        <f t="shared" si="21"/>
        <v>0</v>
      </c>
    </row>
    <row r="333" spans="1:20 16383:16384" s="674" customFormat="1" hidden="1" outlineLevel="1" x14ac:dyDescent="0.2">
      <c r="A333" s="291"/>
      <c r="B333" s="291"/>
      <c r="C333" s="637">
        <v>0</v>
      </c>
      <c r="D333" s="661"/>
      <c r="E333" s="644">
        <v>0</v>
      </c>
      <c r="F333" s="662"/>
      <c r="G333" s="662"/>
      <c r="H333" s="662"/>
      <c r="I333" s="646"/>
      <c r="J333" s="646"/>
      <c r="K333" s="646"/>
      <c r="L333" s="646">
        <f t="shared" si="22"/>
        <v>0</v>
      </c>
      <c r="M333" s="663">
        <f t="shared" si="8"/>
        <v>0</v>
      </c>
      <c r="N333" s="672"/>
      <c r="O333" s="701">
        <f t="shared" si="20"/>
        <v>0</v>
      </c>
      <c r="P333" s="672"/>
      <c r="Q333" s="672"/>
      <c r="R333" s="672"/>
      <c r="S333" s="672"/>
      <c r="T333" s="672"/>
      <c r="XFC333" s="674">
        <f t="shared" si="19"/>
        <v>0</v>
      </c>
      <c r="XFD333" s="678">
        <f t="shared" si="21"/>
        <v>0</v>
      </c>
    </row>
    <row r="334" spans="1:20 16383:16384" s="674" customFormat="1" hidden="1" outlineLevel="1" x14ac:dyDescent="0.2">
      <c r="A334" s="291"/>
      <c r="B334" s="291"/>
      <c r="C334" s="637">
        <v>0</v>
      </c>
      <c r="D334" s="661"/>
      <c r="E334" s="644">
        <v>0</v>
      </c>
      <c r="F334" s="662"/>
      <c r="G334" s="662"/>
      <c r="H334" s="662"/>
      <c r="I334" s="646"/>
      <c r="J334" s="646"/>
      <c r="K334" s="646"/>
      <c r="L334" s="646">
        <f t="shared" si="22"/>
        <v>0</v>
      </c>
      <c r="M334" s="663">
        <f t="shared" si="8"/>
        <v>0</v>
      </c>
      <c r="N334" s="672"/>
      <c r="O334" s="701">
        <f t="shared" si="20"/>
        <v>0</v>
      </c>
      <c r="P334" s="672"/>
      <c r="Q334" s="672"/>
      <c r="R334" s="672"/>
      <c r="S334" s="672"/>
      <c r="T334" s="672"/>
      <c r="XFC334" s="674">
        <f t="shared" si="19"/>
        <v>0</v>
      </c>
      <c r="XFD334" s="678">
        <f t="shared" si="21"/>
        <v>0</v>
      </c>
    </row>
    <row r="335" spans="1:20 16383:16384" s="674" customFormat="1" hidden="1" outlineLevel="1" x14ac:dyDescent="0.2">
      <c r="A335" s="291"/>
      <c r="B335" s="291"/>
      <c r="C335" s="637">
        <v>0</v>
      </c>
      <c r="D335" s="661"/>
      <c r="E335" s="644">
        <v>0</v>
      </c>
      <c r="F335" s="662"/>
      <c r="G335" s="662"/>
      <c r="H335" s="662"/>
      <c r="I335" s="646"/>
      <c r="J335" s="646"/>
      <c r="K335" s="646"/>
      <c r="L335" s="646">
        <f t="shared" si="22"/>
        <v>0</v>
      </c>
      <c r="M335" s="663">
        <f t="shared" si="8"/>
        <v>0</v>
      </c>
      <c r="N335" s="672"/>
      <c r="O335" s="701">
        <f t="shared" si="20"/>
        <v>0</v>
      </c>
      <c r="P335" s="672"/>
      <c r="Q335" s="672"/>
      <c r="R335" s="672"/>
      <c r="S335" s="672"/>
      <c r="T335" s="672"/>
      <c r="XFC335" s="674">
        <f t="shared" si="19"/>
        <v>0</v>
      </c>
      <c r="XFD335" s="678">
        <f t="shared" si="21"/>
        <v>0</v>
      </c>
    </row>
    <row r="336" spans="1:20 16383:16384" s="674" customFormat="1" hidden="1" outlineLevel="1" x14ac:dyDescent="0.2">
      <c r="A336" s="291"/>
      <c r="B336" s="291"/>
      <c r="C336" s="637">
        <v>0</v>
      </c>
      <c r="D336" s="661"/>
      <c r="E336" s="644">
        <v>0</v>
      </c>
      <c r="F336" s="662"/>
      <c r="G336" s="662"/>
      <c r="H336" s="662"/>
      <c r="I336" s="646"/>
      <c r="J336" s="646"/>
      <c r="K336" s="646"/>
      <c r="L336" s="646">
        <f t="shared" si="22"/>
        <v>0</v>
      </c>
      <c r="M336" s="663">
        <f t="shared" si="8"/>
        <v>0</v>
      </c>
      <c r="N336" s="672"/>
      <c r="O336" s="701">
        <f t="shared" si="20"/>
        <v>0</v>
      </c>
      <c r="P336" s="672"/>
      <c r="Q336" s="672"/>
      <c r="R336" s="672"/>
      <c r="S336" s="672"/>
      <c r="T336" s="672"/>
      <c r="XFC336" s="674">
        <f t="shared" si="19"/>
        <v>0</v>
      </c>
      <c r="XFD336" s="678">
        <f t="shared" si="21"/>
        <v>0</v>
      </c>
    </row>
    <row r="337" spans="1:20 16383:16384" s="674" customFormat="1" hidden="1" outlineLevel="1" x14ac:dyDescent="0.2">
      <c r="A337" s="291"/>
      <c r="B337" s="291"/>
      <c r="C337" s="637">
        <v>0</v>
      </c>
      <c r="D337" s="661"/>
      <c r="E337" s="644">
        <v>0</v>
      </c>
      <c r="F337" s="662"/>
      <c r="G337" s="662"/>
      <c r="H337" s="662"/>
      <c r="I337" s="646"/>
      <c r="J337" s="646"/>
      <c r="K337" s="646"/>
      <c r="L337" s="646">
        <f t="shared" si="22"/>
        <v>0</v>
      </c>
      <c r="M337" s="663">
        <f t="shared" si="8"/>
        <v>0</v>
      </c>
      <c r="N337" s="672"/>
      <c r="O337" s="701">
        <f t="shared" si="20"/>
        <v>0</v>
      </c>
      <c r="P337" s="672"/>
      <c r="Q337" s="672"/>
      <c r="R337" s="672"/>
      <c r="S337" s="672"/>
      <c r="T337" s="672"/>
      <c r="XFC337" s="674">
        <f t="shared" si="19"/>
        <v>0</v>
      </c>
      <c r="XFD337" s="678">
        <f t="shared" si="21"/>
        <v>0</v>
      </c>
    </row>
    <row r="338" spans="1:20 16383:16384" s="674" customFormat="1" hidden="1" outlineLevel="1" x14ac:dyDescent="0.2">
      <c r="A338" s="291"/>
      <c r="B338" s="291"/>
      <c r="C338" s="637">
        <v>0</v>
      </c>
      <c r="D338" s="661"/>
      <c r="E338" s="644">
        <v>0</v>
      </c>
      <c r="F338" s="662"/>
      <c r="G338" s="662"/>
      <c r="H338" s="662"/>
      <c r="I338" s="646"/>
      <c r="J338" s="646"/>
      <c r="K338" s="646"/>
      <c r="L338" s="646">
        <f t="shared" si="22"/>
        <v>0</v>
      </c>
      <c r="M338" s="663">
        <f t="shared" si="8"/>
        <v>0</v>
      </c>
      <c r="N338" s="672"/>
      <c r="O338" s="701">
        <f t="shared" si="20"/>
        <v>0</v>
      </c>
      <c r="P338" s="672"/>
      <c r="Q338" s="672"/>
      <c r="R338" s="672"/>
      <c r="S338" s="672"/>
      <c r="T338" s="672"/>
      <c r="XFC338" s="674">
        <f t="shared" si="19"/>
        <v>0</v>
      </c>
      <c r="XFD338" s="678">
        <f t="shared" si="21"/>
        <v>0</v>
      </c>
    </row>
    <row r="339" spans="1:20 16383:16384" s="674" customFormat="1" hidden="1" outlineLevel="1" x14ac:dyDescent="0.2">
      <c r="A339" s="291"/>
      <c r="B339" s="291"/>
      <c r="C339" s="637">
        <v>0</v>
      </c>
      <c r="D339" s="661"/>
      <c r="E339" s="644">
        <v>0</v>
      </c>
      <c r="F339" s="662"/>
      <c r="G339" s="662"/>
      <c r="H339" s="662"/>
      <c r="I339" s="646"/>
      <c r="J339" s="646"/>
      <c r="K339" s="646"/>
      <c r="L339" s="646">
        <f t="shared" si="22"/>
        <v>0</v>
      </c>
      <c r="M339" s="663">
        <f t="shared" si="8"/>
        <v>0</v>
      </c>
      <c r="N339" s="672"/>
      <c r="O339" s="701">
        <f t="shared" si="20"/>
        <v>0</v>
      </c>
      <c r="P339" s="672"/>
      <c r="Q339" s="672"/>
      <c r="R339" s="672"/>
      <c r="S339" s="672"/>
      <c r="T339" s="672"/>
      <c r="XFC339" s="674">
        <f t="shared" ref="XFC339:XFC402" si="23">IF(AND(K339&gt;0,L339=""),1,0)</f>
        <v>0</v>
      </c>
      <c r="XFD339" s="678">
        <f t="shared" si="21"/>
        <v>0</v>
      </c>
    </row>
    <row r="340" spans="1:20 16383:16384" s="674" customFormat="1" hidden="1" outlineLevel="1" x14ac:dyDescent="0.2">
      <c r="A340" s="291"/>
      <c r="B340" s="291"/>
      <c r="C340" s="637">
        <v>0</v>
      </c>
      <c r="D340" s="661"/>
      <c r="E340" s="644">
        <v>0</v>
      </c>
      <c r="F340" s="662"/>
      <c r="G340" s="662"/>
      <c r="H340" s="662"/>
      <c r="I340" s="646"/>
      <c r="J340" s="646"/>
      <c r="K340" s="646"/>
      <c r="L340" s="646">
        <f t="shared" si="22"/>
        <v>0</v>
      </c>
      <c r="M340" s="663">
        <f t="shared" ref="M340:M403" si="24">+J340-K340</f>
        <v>0</v>
      </c>
      <c r="N340" s="672"/>
      <c r="O340" s="701">
        <f t="shared" ref="O340:O403" si="25">IFERROR((+K340/I340),0)</f>
        <v>0</v>
      </c>
      <c r="P340" s="672"/>
      <c r="Q340" s="672"/>
      <c r="R340" s="672"/>
      <c r="S340" s="672"/>
      <c r="T340" s="672"/>
      <c r="XFC340" s="674">
        <f t="shared" si="23"/>
        <v>0</v>
      </c>
      <c r="XFD340" s="678">
        <f t="shared" ref="XFD340:XFD403" si="26">+K340</f>
        <v>0</v>
      </c>
    </row>
    <row r="341" spans="1:20 16383:16384" s="674" customFormat="1" hidden="1" outlineLevel="1" x14ac:dyDescent="0.2">
      <c r="A341" s="291"/>
      <c r="B341" s="291"/>
      <c r="C341" s="637">
        <v>0</v>
      </c>
      <c r="D341" s="661"/>
      <c r="E341" s="644">
        <v>0</v>
      </c>
      <c r="F341" s="662"/>
      <c r="G341" s="662"/>
      <c r="H341" s="662"/>
      <c r="I341" s="646"/>
      <c r="J341" s="646"/>
      <c r="K341" s="646"/>
      <c r="L341" s="646">
        <f t="shared" si="22"/>
        <v>0</v>
      </c>
      <c r="M341" s="663">
        <f t="shared" si="24"/>
        <v>0</v>
      </c>
      <c r="N341" s="672"/>
      <c r="O341" s="701">
        <f t="shared" si="25"/>
        <v>0</v>
      </c>
      <c r="P341" s="672"/>
      <c r="Q341" s="672"/>
      <c r="R341" s="672"/>
      <c r="S341" s="672"/>
      <c r="T341" s="672"/>
      <c r="XFC341" s="674">
        <f t="shared" si="23"/>
        <v>0</v>
      </c>
      <c r="XFD341" s="678">
        <f t="shared" si="26"/>
        <v>0</v>
      </c>
    </row>
    <row r="342" spans="1:20 16383:16384" s="674" customFormat="1" hidden="1" outlineLevel="1" x14ac:dyDescent="0.2">
      <c r="A342" s="291"/>
      <c r="B342" s="291"/>
      <c r="C342" s="637">
        <v>0</v>
      </c>
      <c r="D342" s="661"/>
      <c r="E342" s="644">
        <v>0</v>
      </c>
      <c r="F342" s="662"/>
      <c r="G342" s="662"/>
      <c r="H342" s="662"/>
      <c r="I342" s="646"/>
      <c r="J342" s="646"/>
      <c r="K342" s="646"/>
      <c r="L342" s="646">
        <f t="shared" si="22"/>
        <v>0</v>
      </c>
      <c r="M342" s="663">
        <f t="shared" si="24"/>
        <v>0</v>
      </c>
      <c r="N342" s="672"/>
      <c r="O342" s="701">
        <f t="shared" si="25"/>
        <v>0</v>
      </c>
      <c r="P342" s="672"/>
      <c r="Q342" s="672"/>
      <c r="R342" s="672"/>
      <c r="S342" s="672"/>
      <c r="T342" s="672"/>
      <c r="XFC342" s="674">
        <f t="shared" si="23"/>
        <v>0</v>
      </c>
      <c r="XFD342" s="678">
        <f t="shared" si="26"/>
        <v>0</v>
      </c>
    </row>
    <row r="343" spans="1:20 16383:16384" s="674" customFormat="1" hidden="1" outlineLevel="1" x14ac:dyDescent="0.2">
      <c r="A343" s="291"/>
      <c r="B343" s="291"/>
      <c r="C343" s="637">
        <v>0</v>
      </c>
      <c r="D343" s="661"/>
      <c r="E343" s="644">
        <v>0</v>
      </c>
      <c r="F343" s="662"/>
      <c r="G343" s="662"/>
      <c r="H343" s="662"/>
      <c r="I343" s="646"/>
      <c r="J343" s="646"/>
      <c r="K343" s="646"/>
      <c r="L343" s="646">
        <f t="shared" si="22"/>
        <v>0</v>
      </c>
      <c r="M343" s="663">
        <f t="shared" si="24"/>
        <v>0</v>
      </c>
      <c r="N343" s="672"/>
      <c r="O343" s="701">
        <f t="shared" si="25"/>
        <v>0</v>
      </c>
      <c r="P343" s="672"/>
      <c r="Q343" s="672"/>
      <c r="R343" s="672"/>
      <c r="S343" s="672"/>
      <c r="T343" s="672"/>
      <c r="XFC343" s="674">
        <f t="shared" si="23"/>
        <v>0</v>
      </c>
      <c r="XFD343" s="678">
        <f t="shared" si="26"/>
        <v>0</v>
      </c>
    </row>
    <row r="344" spans="1:20 16383:16384" s="674" customFormat="1" hidden="1" outlineLevel="1" x14ac:dyDescent="0.2">
      <c r="A344" s="291"/>
      <c r="B344" s="291"/>
      <c r="C344" s="637">
        <v>0</v>
      </c>
      <c r="D344" s="661"/>
      <c r="E344" s="644">
        <v>0</v>
      </c>
      <c r="F344" s="662"/>
      <c r="G344" s="662"/>
      <c r="H344" s="662"/>
      <c r="I344" s="646"/>
      <c r="J344" s="646"/>
      <c r="K344" s="646"/>
      <c r="L344" s="646">
        <f t="shared" si="22"/>
        <v>0</v>
      </c>
      <c r="M344" s="663">
        <f t="shared" si="24"/>
        <v>0</v>
      </c>
      <c r="N344" s="672"/>
      <c r="O344" s="701">
        <f t="shared" si="25"/>
        <v>0</v>
      </c>
      <c r="P344" s="672"/>
      <c r="Q344" s="672"/>
      <c r="R344" s="672"/>
      <c r="S344" s="672"/>
      <c r="T344" s="672"/>
      <c r="XFC344" s="674">
        <f t="shared" si="23"/>
        <v>0</v>
      </c>
      <c r="XFD344" s="678">
        <f t="shared" si="26"/>
        <v>0</v>
      </c>
    </row>
    <row r="345" spans="1:20 16383:16384" s="674" customFormat="1" hidden="1" outlineLevel="1" x14ac:dyDescent="0.2">
      <c r="A345" s="291"/>
      <c r="B345" s="291"/>
      <c r="C345" s="637">
        <v>0</v>
      </c>
      <c r="D345" s="661"/>
      <c r="E345" s="644">
        <v>0</v>
      </c>
      <c r="F345" s="662"/>
      <c r="G345" s="662"/>
      <c r="H345" s="662"/>
      <c r="I345" s="646"/>
      <c r="J345" s="646"/>
      <c r="K345" s="646"/>
      <c r="L345" s="646">
        <f t="shared" si="22"/>
        <v>0</v>
      </c>
      <c r="M345" s="663">
        <f t="shared" si="24"/>
        <v>0</v>
      </c>
      <c r="N345" s="672"/>
      <c r="O345" s="701">
        <f t="shared" si="25"/>
        <v>0</v>
      </c>
      <c r="P345" s="672"/>
      <c r="Q345" s="672"/>
      <c r="R345" s="672"/>
      <c r="S345" s="672"/>
      <c r="T345" s="672"/>
      <c r="XFC345" s="674">
        <f t="shared" si="23"/>
        <v>0</v>
      </c>
      <c r="XFD345" s="678">
        <f t="shared" si="26"/>
        <v>0</v>
      </c>
    </row>
    <row r="346" spans="1:20 16383:16384" s="674" customFormat="1" hidden="1" outlineLevel="1" x14ac:dyDescent="0.2">
      <c r="A346" s="291"/>
      <c r="B346" s="291"/>
      <c r="C346" s="637">
        <v>0</v>
      </c>
      <c r="D346" s="661"/>
      <c r="E346" s="644">
        <v>0</v>
      </c>
      <c r="F346" s="662"/>
      <c r="G346" s="662"/>
      <c r="H346" s="662"/>
      <c r="I346" s="646"/>
      <c r="J346" s="646"/>
      <c r="K346" s="646"/>
      <c r="L346" s="646">
        <f t="shared" si="22"/>
        <v>0</v>
      </c>
      <c r="M346" s="663">
        <f t="shared" si="24"/>
        <v>0</v>
      </c>
      <c r="N346" s="672"/>
      <c r="O346" s="701">
        <f t="shared" si="25"/>
        <v>0</v>
      </c>
      <c r="P346" s="672"/>
      <c r="Q346" s="672"/>
      <c r="R346" s="672"/>
      <c r="S346" s="672"/>
      <c r="T346" s="672"/>
      <c r="XFC346" s="674">
        <f t="shared" si="23"/>
        <v>0</v>
      </c>
      <c r="XFD346" s="678">
        <f t="shared" si="26"/>
        <v>0</v>
      </c>
    </row>
    <row r="347" spans="1:20 16383:16384" s="674" customFormat="1" hidden="1" outlineLevel="1" x14ac:dyDescent="0.2">
      <c r="A347" s="291"/>
      <c r="B347" s="291"/>
      <c r="C347" s="637">
        <v>0</v>
      </c>
      <c r="D347" s="661"/>
      <c r="E347" s="644">
        <v>0</v>
      </c>
      <c r="F347" s="662"/>
      <c r="G347" s="662"/>
      <c r="H347" s="662"/>
      <c r="I347" s="646"/>
      <c r="J347" s="646"/>
      <c r="K347" s="646"/>
      <c r="L347" s="646">
        <f t="shared" si="22"/>
        <v>0</v>
      </c>
      <c r="M347" s="663">
        <f t="shared" si="24"/>
        <v>0</v>
      </c>
      <c r="N347" s="672"/>
      <c r="O347" s="701">
        <f t="shared" si="25"/>
        <v>0</v>
      </c>
      <c r="P347" s="672"/>
      <c r="Q347" s="672"/>
      <c r="R347" s="672"/>
      <c r="S347" s="672"/>
      <c r="T347" s="672"/>
      <c r="XFC347" s="674">
        <f t="shared" si="23"/>
        <v>0</v>
      </c>
      <c r="XFD347" s="678">
        <f t="shared" si="26"/>
        <v>0</v>
      </c>
    </row>
    <row r="348" spans="1:20 16383:16384" s="674" customFormat="1" hidden="1" outlineLevel="1" x14ac:dyDescent="0.2">
      <c r="A348" s="291"/>
      <c r="B348" s="291"/>
      <c r="C348" s="637">
        <v>0</v>
      </c>
      <c r="D348" s="661"/>
      <c r="E348" s="644">
        <v>0</v>
      </c>
      <c r="F348" s="662"/>
      <c r="G348" s="662"/>
      <c r="H348" s="662"/>
      <c r="I348" s="646"/>
      <c r="J348" s="646"/>
      <c r="K348" s="646"/>
      <c r="L348" s="646">
        <f t="shared" si="22"/>
        <v>0</v>
      </c>
      <c r="M348" s="663">
        <f t="shared" si="24"/>
        <v>0</v>
      </c>
      <c r="N348" s="672"/>
      <c r="O348" s="701">
        <f t="shared" si="25"/>
        <v>0</v>
      </c>
      <c r="P348" s="672"/>
      <c r="Q348" s="672"/>
      <c r="R348" s="672"/>
      <c r="S348" s="672"/>
      <c r="T348" s="672"/>
      <c r="XFC348" s="674">
        <f t="shared" si="23"/>
        <v>0</v>
      </c>
      <c r="XFD348" s="678">
        <f t="shared" si="26"/>
        <v>0</v>
      </c>
    </row>
    <row r="349" spans="1:20 16383:16384" s="674" customFormat="1" hidden="1" outlineLevel="1" x14ac:dyDescent="0.2">
      <c r="A349" s="291"/>
      <c r="B349" s="291"/>
      <c r="C349" s="637">
        <v>0</v>
      </c>
      <c r="D349" s="661"/>
      <c r="E349" s="644">
        <v>0</v>
      </c>
      <c r="F349" s="662"/>
      <c r="G349" s="662"/>
      <c r="H349" s="662"/>
      <c r="I349" s="646"/>
      <c r="J349" s="646"/>
      <c r="K349" s="646"/>
      <c r="L349" s="646">
        <f t="shared" si="22"/>
        <v>0</v>
      </c>
      <c r="M349" s="663">
        <f t="shared" si="24"/>
        <v>0</v>
      </c>
      <c r="N349" s="672"/>
      <c r="O349" s="701">
        <f t="shared" si="25"/>
        <v>0</v>
      </c>
      <c r="P349" s="672"/>
      <c r="Q349" s="672"/>
      <c r="R349" s="672"/>
      <c r="S349" s="672"/>
      <c r="T349" s="672"/>
      <c r="XFC349" s="674">
        <f t="shared" si="23"/>
        <v>0</v>
      </c>
      <c r="XFD349" s="678">
        <f t="shared" si="26"/>
        <v>0</v>
      </c>
    </row>
    <row r="350" spans="1:20 16383:16384" s="674" customFormat="1" hidden="1" outlineLevel="1" x14ac:dyDescent="0.2">
      <c r="A350" s="291"/>
      <c r="B350" s="291"/>
      <c r="C350" s="637">
        <v>0</v>
      </c>
      <c r="D350" s="661"/>
      <c r="E350" s="644">
        <v>0</v>
      </c>
      <c r="F350" s="662"/>
      <c r="G350" s="662"/>
      <c r="H350" s="662"/>
      <c r="I350" s="646"/>
      <c r="J350" s="646"/>
      <c r="K350" s="646"/>
      <c r="L350" s="646">
        <f t="shared" si="22"/>
        <v>0</v>
      </c>
      <c r="M350" s="663">
        <f t="shared" si="24"/>
        <v>0</v>
      </c>
      <c r="N350" s="672"/>
      <c r="O350" s="701">
        <f t="shared" si="25"/>
        <v>0</v>
      </c>
      <c r="P350" s="672"/>
      <c r="Q350" s="672"/>
      <c r="R350" s="672"/>
      <c r="S350" s="672"/>
      <c r="T350" s="672"/>
      <c r="XFC350" s="674">
        <f t="shared" si="23"/>
        <v>0</v>
      </c>
      <c r="XFD350" s="678">
        <f t="shared" si="26"/>
        <v>0</v>
      </c>
    </row>
    <row r="351" spans="1:20 16383:16384" s="674" customFormat="1" hidden="1" outlineLevel="1" x14ac:dyDescent="0.2">
      <c r="A351" s="291"/>
      <c r="B351" s="291"/>
      <c r="C351" s="637">
        <v>0</v>
      </c>
      <c r="D351" s="661"/>
      <c r="E351" s="644">
        <v>0</v>
      </c>
      <c r="F351" s="662"/>
      <c r="G351" s="662"/>
      <c r="H351" s="662"/>
      <c r="I351" s="646"/>
      <c r="J351" s="646"/>
      <c r="K351" s="646"/>
      <c r="L351" s="646">
        <f t="shared" si="22"/>
        <v>0</v>
      </c>
      <c r="M351" s="663">
        <f t="shared" si="24"/>
        <v>0</v>
      </c>
      <c r="N351" s="672"/>
      <c r="O351" s="701">
        <f t="shared" si="25"/>
        <v>0</v>
      </c>
      <c r="P351" s="672"/>
      <c r="Q351" s="672"/>
      <c r="R351" s="672"/>
      <c r="S351" s="672"/>
      <c r="T351" s="672"/>
      <c r="XFC351" s="674">
        <f t="shared" si="23"/>
        <v>0</v>
      </c>
      <c r="XFD351" s="678">
        <f t="shared" si="26"/>
        <v>0</v>
      </c>
    </row>
    <row r="352" spans="1:20 16383:16384" s="674" customFormat="1" hidden="1" outlineLevel="1" x14ac:dyDescent="0.2">
      <c r="A352" s="291"/>
      <c r="B352" s="291"/>
      <c r="C352" s="637">
        <v>0</v>
      </c>
      <c r="D352" s="661"/>
      <c r="E352" s="644">
        <v>0</v>
      </c>
      <c r="F352" s="662"/>
      <c r="G352" s="662"/>
      <c r="H352" s="662"/>
      <c r="I352" s="646"/>
      <c r="J352" s="646"/>
      <c r="K352" s="646"/>
      <c r="L352" s="646">
        <f t="shared" si="22"/>
        <v>0</v>
      </c>
      <c r="M352" s="663">
        <f t="shared" si="24"/>
        <v>0</v>
      </c>
      <c r="N352" s="672"/>
      <c r="O352" s="701">
        <f t="shared" si="25"/>
        <v>0</v>
      </c>
      <c r="P352" s="672"/>
      <c r="Q352" s="672"/>
      <c r="R352" s="672"/>
      <c r="S352" s="672"/>
      <c r="T352" s="672"/>
      <c r="XFC352" s="674">
        <f t="shared" si="23"/>
        <v>0</v>
      </c>
      <c r="XFD352" s="678">
        <f t="shared" si="26"/>
        <v>0</v>
      </c>
    </row>
    <row r="353" spans="1:20 16383:16384" s="674" customFormat="1" hidden="1" outlineLevel="1" x14ac:dyDescent="0.2">
      <c r="A353" s="291"/>
      <c r="B353" s="291"/>
      <c r="C353" s="637">
        <v>0</v>
      </c>
      <c r="D353" s="661"/>
      <c r="E353" s="644">
        <v>0</v>
      </c>
      <c r="F353" s="662"/>
      <c r="G353" s="662"/>
      <c r="H353" s="662"/>
      <c r="I353" s="646"/>
      <c r="J353" s="646"/>
      <c r="K353" s="646"/>
      <c r="L353" s="646">
        <f t="shared" si="22"/>
        <v>0</v>
      </c>
      <c r="M353" s="663">
        <f t="shared" si="24"/>
        <v>0</v>
      </c>
      <c r="N353" s="672"/>
      <c r="O353" s="701">
        <f t="shared" si="25"/>
        <v>0</v>
      </c>
      <c r="P353" s="672"/>
      <c r="Q353" s="672"/>
      <c r="R353" s="672"/>
      <c r="S353" s="672"/>
      <c r="T353" s="672"/>
      <c r="XFC353" s="674">
        <f t="shared" si="23"/>
        <v>0</v>
      </c>
      <c r="XFD353" s="678">
        <f t="shared" si="26"/>
        <v>0</v>
      </c>
    </row>
    <row r="354" spans="1:20 16383:16384" s="674" customFormat="1" hidden="1" outlineLevel="1" x14ac:dyDescent="0.2">
      <c r="A354" s="291"/>
      <c r="B354" s="291"/>
      <c r="C354" s="637">
        <v>0</v>
      </c>
      <c r="D354" s="661"/>
      <c r="E354" s="644">
        <v>0</v>
      </c>
      <c r="F354" s="662"/>
      <c r="G354" s="662"/>
      <c r="H354" s="662"/>
      <c r="I354" s="646"/>
      <c r="J354" s="646"/>
      <c r="K354" s="646"/>
      <c r="L354" s="646">
        <f t="shared" si="22"/>
        <v>0</v>
      </c>
      <c r="M354" s="663">
        <f t="shared" si="24"/>
        <v>0</v>
      </c>
      <c r="N354" s="672"/>
      <c r="O354" s="701">
        <f t="shared" si="25"/>
        <v>0</v>
      </c>
      <c r="P354" s="672"/>
      <c r="Q354" s="672"/>
      <c r="R354" s="672"/>
      <c r="S354" s="672"/>
      <c r="T354" s="672"/>
      <c r="XFC354" s="674">
        <f t="shared" si="23"/>
        <v>0</v>
      </c>
      <c r="XFD354" s="678">
        <f t="shared" si="26"/>
        <v>0</v>
      </c>
    </row>
    <row r="355" spans="1:20 16383:16384" s="674" customFormat="1" hidden="1" outlineLevel="1" x14ac:dyDescent="0.2">
      <c r="A355" s="291"/>
      <c r="B355" s="291"/>
      <c r="C355" s="637">
        <v>0</v>
      </c>
      <c r="D355" s="661"/>
      <c r="E355" s="644">
        <v>0</v>
      </c>
      <c r="F355" s="662"/>
      <c r="G355" s="662"/>
      <c r="H355" s="662"/>
      <c r="I355" s="646"/>
      <c r="J355" s="646"/>
      <c r="K355" s="646"/>
      <c r="L355" s="646">
        <f t="shared" si="22"/>
        <v>0</v>
      </c>
      <c r="M355" s="663">
        <f t="shared" si="24"/>
        <v>0</v>
      </c>
      <c r="N355" s="672"/>
      <c r="O355" s="701">
        <f t="shared" si="25"/>
        <v>0</v>
      </c>
      <c r="P355" s="672"/>
      <c r="Q355" s="672"/>
      <c r="R355" s="672"/>
      <c r="S355" s="672"/>
      <c r="T355" s="672"/>
      <c r="XFC355" s="674">
        <f t="shared" si="23"/>
        <v>0</v>
      </c>
      <c r="XFD355" s="678">
        <f t="shared" si="26"/>
        <v>0</v>
      </c>
    </row>
    <row r="356" spans="1:20 16383:16384" s="674" customFormat="1" hidden="1" outlineLevel="1" x14ac:dyDescent="0.2">
      <c r="A356" s="291"/>
      <c r="B356" s="291"/>
      <c r="C356" s="637">
        <v>0</v>
      </c>
      <c r="D356" s="661"/>
      <c r="E356" s="644">
        <v>0</v>
      </c>
      <c r="F356" s="662"/>
      <c r="G356" s="662"/>
      <c r="H356" s="662"/>
      <c r="I356" s="646"/>
      <c r="J356" s="646"/>
      <c r="K356" s="646"/>
      <c r="L356" s="646">
        <f t="shared" si="22"/>
        <v>0</v>
      </c>
      <c r="M356" s="663">
        <f t="shared" si="24"/>
        <v>0</v>
      </c>
      <c r="N356" s="672"/>
      <c r="O356" s="701">
        <f t="shared" si="25"/>
        <v>0</v>
      </c>
      <c r="P356" s="672"/>
      <c r="Q356" s="672"/>
      <c r="R356" s="672"/>
      <c r="S356" s="672"/>
      <c r="T356" s="672"/>
      <c r="XFC356" s="674">
        <f t="shared" si="23"/>
        <v>0</v>
      </c>
      <c r="XFD356" s="678">
        <f t="shared" si="26"/>
        <v>0</v>
      </c>
    </row>
    <row r="357" spans="1:20 16383:16384" s="674" customFormat="1" hidden="1" outlineLevel="1" x14ac:dyDescent="0.2">
      <c r="A357" s="291"/>
      <c r="B357" s="291"/>
      <c r="C357" s="637">
        <v>0</v>
      </c>
      <c r="D357" s="661"/>
      <c r="E357" s="644">
        <v>0</v>
      </c>
      <c r="F357" s="662"/>
      <c r="G357" s="662"/>
      <c r="H357" s="662"/>
      <c r="I357" s="646"/>
      <c r="J357" s="646"/>
      <c r="K357" s="646"/>
      <c r="L357" s="646">
        <f t="shared" si="22"/>
        <v>0</v>
      </c>
      <c r="M357" s="663">
        <f t="shared" si="24"/>
        <v>0</v>
      </c>
      <c r="N357" s="672"/>
      <c r="O357" s="701">
        <f t="shared" si="25"/>
        <v>0</v>
      </c>
      <c r="P357" s="672"/>
      <c r="Q357" s="672"/>
      <c r="R357" s="672"/>
      <c r="S357" s="672"/>
      <c r="T357" s="672"/>
      <c r="XFC357" s="674">
        <f t="shared" si="23"/>
        <v>0</v>
      </c>
      <c r="XFD357" s="678">
        <f t="shared" si="26"/>
        <v>0</v>
      </c>
    </row>
    <row r="358" spans="1:20 16383:16384" s="674" customFormat="1" hidden="1" outlineLevel="1" x14ac:dyDescent="0.2">
      <c r="A358" s="291"/>
      <c r="B358" s="291"/>
      <c r="C358" s="637">
        <v>0</v>
      </c>
      <c r="D358" s="661"/>
      <c r="E358" s="644">
        <v>0</v>
      </c>
      <c r="F358" s="662"/>
      <c r="G358" s="662"/>
      <c r="H358" s="662"/>
      <c r="I358" s="646"/>
      <c r="J358" s="646"/>
      <c r="K358" s="646"/>
      <c r="L358" s="646">
        <f t="shared" si="22"/>
        <v>0</v>
      </c>
      <c r="M358" s="663">
        <f t="shared" si="24"/>
        <v>0</v>
      </c>
      <c r="N358" s="672"/>
      <c r="O358" s="701">
        <f t="shared" si="25"/>
        <v>0</v>
      </c>
      <c r="P358" s="672"/>
      <c r="Q358" s="672"/>
      <c r="R358" s="672"/>
      <c r="S358" s="672"/>
      <c r="T358" s="672"/>
      <c r="XFC358" s="674">
        <f t="shared" si="23"/>
        <v>0</v>
      </c>
      <c r="XFD358" s="678">
        <f t="shared" si="26"/>
        <v>0</v>
      </c>
    </row>
    <row r="359" spans="1:20 16383:16384" s="674" customFormat="1" hidden="1" outlineLevel="1" x14ac:dyDescent="0.2">
      <c r="A359" s="291"/>
      <c r="B359" s="291"/>
      <c r="C359" s="637">
        <v>0</v>
      </c>
      <c r="D359" s="661"/>
      <c r="E359" s="644">
        <v>0</v>
      </c>
      <c r="F359" s="662"/>
      <c r="G359" s="662"/>
      <c r="H359" s="662"/>
      <c r="I359" s="646"/>
      <c r="J359" s="646"/>
      <c r="K359" s="646"/>
      <c r="L359" s="646">
        <f t="shared" si="22"/>
        <v>0</v>
      </c>
      <c r="M359" s="663">
        <f t="shared" si="24"/>
        <v>0</v>
      </c>
      <c r="N359" s="672"/>
      <c r="O359" s="701">
        <f t="shared" si="25"/>
        <v>0</v>
      </c>
      <c r="P359" s="672"/>
      <c r="Q359" s="672"/>
      <c r="R359" s="672"/>
      <c r="S359" s="672"/>
      <c r="T359" s="672"/>
      <c r="XFC359" s="674">
        <f t="shared" si="23"/>
        <v>0</v>
      </c>
      <c r="XFD359" s="678">
        <f t="shared" si="26"/>
        <v>0</v>
      </c>
    </row>
    <row r="360" spans="1:20 16383:16384" s="674" customFormat="1" hidden="1" outlineLevel="1" x14ac:dyDescent="0.2">
      <c r="A360" s="291"/>
      <c r="B360" s="291"/>
      <c r="C360" s="637">
        <v>0</v>
      </c>
      <c r="D360" s="661"/>
      <c r="E360" s="644">
        <v>0</v>
      </c>
      <c r="F360" s="662"/>
      <c r="G360" s="662"/>
      <c r="H360" s="662"/>
      <c r="I360" s="646"/>
      <c r="J360" s="646"/>
      <c r="K360" s="646"/>
      <c r="L360" s="646">
        <f t="shared" si="22"/>
        <v>0</v>
      </c>
      <c r="M360" s="663">
        <f t="shared" si="24"/>
        <v>0</v>
      </c>
      <c r="N360" s="672"/>
      <c r="O360" s="701">
        <f t="shared" si="25"/>
        <v>0</v>
      </c>
      <c r="P360" s="672"/>
      <c r="Q360" s="672"/>
      <c r="R360" s="672"/>
      <c r="S360" s="672"/>
      <c r="T360" s="672"/>
      <c r="XFC360" s="674">
        <f t="shared" si="23"/>
        <v>0</v>
      </c>
      <c r="XFD360" s="678">
        <f t="shared" si="26"/>
        <v>0</v>
      </c>
    </row>
    <row r="361" spans="1:20 16383:16384" s="674" customFormat="1" hidden="1" outlineLevel="1" x14ac:dyDescent="0.2">
      <c r="A361" s="291"/>
      <c r="B361" s="291"/>
      <c r="C361" s="637">
        <v>0</v>
      </c>
      <c r="D361" s="661"/>
      <c r="E361" s="644">
        <v>0</v>
      </c>
      <c r="F361" s="662"/>
      <c r="G361" s="662"/>
      <c r="H361" s="662"/>
      <c r="I361" s="646"/>
      <c r="J361" s="646"/>
      <c r="K361" s="646"/>
      <c r="L361" s="646">
        <f t="shared" ref="L361:L424" si="27">IF(L360="","",L360)</f>
        <v>0</v>
      </c>
      <c r="M361" s="663">
        <f t="shared" si="24"/>
        <v>0</v>
      </c>
      <c r="N361" s="672"/>
      <c r="O361" s="701">
        <f t="shared" si="25"/>
        <v>0</v>
      </c>
      <c r="P361" s="672"/>
      <c r="Q361" s="672"/>
      <c r="R361" s="672"/>
      <c r="S361" s="672"/>
      <c r="T361" s="672"/>
      <c r="XFC361" s="674">
        <f t="shared" si="23"/>
        <v>0</v>
      </c>
      <c r="XFD361" s="678">
        <f t="shared" si="26"/>
        <v>0</v>
      </c>
    </row>
    <row r="362" spans="1:20 16383:16384" s="674" customFormat="1" hidden="1" outlineLevel="1" x14ac:dyDescent="0.2">
      <c r="A362" s="291"/>
      <c r="B362" s="291"/>
      <c r="C362" s="637">
        <v>0</v>
      </c>
      <c r="D362" s="661"/>
      <c r="E362" s="644">
        <v>0</v>
      </c>
      <c r="F362" s="662"/>
      <c r="G362" s="662"/>
      <c r="H362" s="662"/>
      <c r="I362" s="646"/>
      <c r="J362" s="646"/>
      <c r="K362" s="646"/>
      <c r="L362" s="646">
        <f t="shared" si="27"/>
        <v>0</v>
      </c>
      <c r="M362" s="663">
        <f t="shared" si="24"/>
        <v>0</v>
      </c>
      <c r="N362" s="672"/>
      <c r="O362" s="701">
        <f t="shared" si="25"/>
        <v>0</v>
      </c>
      <c r="P362" s="672"/>
      <c r="Q362" s="672"/>
      <c r="R362" s="672"/>
      <c r="S362" s="672"/>
      <c r="T362" s="672"/>
      <c r="XFC362" s="674">
        <f t="shared" si="23"/>
        <v>0</v>
      </c>
      <c r="XFD362" s="678">
        <f t="shared" si="26"/>
        <v>0</v>
      </c>
    </row>
    <row r="363" spans="1:20 16383:16384" s="674" customFormat="1" hidden="1" outlineLevel="1" x14ac:dyDescent="0.2">
      <c r="A363" s="291"/>
      <c r="B363" s="291"/>
      <c r="C363" s="637">
        <v>0</v>
      </c>
      <c r="D363" s="661"/>
      <c r="E363" s="644">
        <v>0</v>
      </c>
      <c r="F363" s="662"/>
      <c r="G363" s="662"/>
      <c r="H363" s="662"/>
      <c r="I363" s="646"/>
      <c r="J363" s="646"/>
      <c r="K363" s="646"/>
      <c r="L363" s="646">
        <f t="shared" si="27"/>
        <v>0</v>
      </c>
      <c r="M363" s="663">
        <f t="shared" si="24"/>
        <v>0</v>
      </c>
      <c r="N363" s="672"/>
      <c r="O363" s="701">
        <f t="shared" si="25"/>
        <v>0</v>
      </c>
      <c r="P363" s="672"/>
      <c r="Q363" s="672"/>
      <c r="R363" s="672"/>
      <c r="S363" s="672"/>
      <c r="T363" s="672"/>
      <c r="XFC363" s="674">
        <f t="shared" si="23"/>
        <v>0</v>
      </c>
      <c r="XFD363" s="678">
        <f t="shared" si="26"/>
        <v>0</v>
      </c>
    </row>
    <row r="364" spans="1:20 16383:16384" s="674" customFormat="1" hidden="1" outlineLevel="1" x14ac:dyDescent="0.2">
      <c r="A364" s="291"/>
      <c r="B364" s="291"/>
      <c r="C364" s="637">
        <v>0</v>
      </c>
      <c r="D364" s="661"/>
      <c r="E364" s="644">
        <v>0</v>
      </c>
      <c r="F364" s="662"/>
      <c r="G364" s="662"/>
      <c r="H364" s="662"/>
      <c r="I364" s="646"/>
      <c r="J364" s="646"/>
      <c r="K364" s="646"/>
      <c r="L364" s="646">
        <f t="shared" si="27"/>
        <v>0</v>
      </c>
      <c r="M364" s="663">
        <f t="shared" si="24"/>
        <v>0</v>
      </c>
      <c r="N364" s="672"/>
      <c r="O364" s="701">
        <f t="shared" si="25"/>
        <v>0</v>
      </c>
      <c r="P364" s="672"/>
      <c r="Q364" s="672"/>
      <c r="R364" s="672"/>
      <c r="S364" s="672"/>
      <c r="T364" s="672"/>
      <c r="XFC364" s="674">
        <f t="shared" si="23"/>
        <v>0</v>
      </c>
      <c r="XFD364" s="678">
        <f t="shared" si="26"/>
        <v>0</v>
      </c>
    </row>
    <row r="365" spans="1:20 16383:16384" s="674" customFormat="1" hidden="1" outlineLevel="1" x14ac:dyDescent="0.2">
      <c r="A365" s="291"/>
      <c r="B365" s="291"/>
      <c r="C365" s="637">
        <v>0</v>
      </c>
      <c r="D365" s="661"/>
      <c r="E365" s="644">
        <v>0</v>
      </c>
      <c r="F365" s="662"/>
      <c r="G365" s="662"/>
      <c r="H365" s="662"/>
      <c r="I365" s="646"/>
      <c r="J365" s="646"/>
      <c r="K365" s="646"/>
      <c r="L365" s="646">
        <f t="shared" si="27"/>
        <v>0</v>
      </c>
      <c r="M365" s="663">
        <f t="shared" si="24"/>
        <v>0</v>
      </c>
      <c r="N365" s="672"/>
      <c r="O365" s="701">
        <f t="shared" si="25"/>
        <v>0</v>
      </c>
      <c r="P365" s="672"/>
      <c r="Q365" s="672"/>
      <c r="R365" s="672"/>
      <c r="S365" s="672"/>
      <c r="T365" s="672"/>
      <c r="XFC365" s="674">
        <f t="shared" si="23"/>
        <v>0</v>
      </c>
      <c r="XFD365" s="678">
        <f t="shared" si="26"/>
        <v>0</v>
      </c>
    </row>
    <row r="366" spans="1:20 16383:16384" s="674" customFormat="1" hidden="1" outlineLevel="1" x14ac:dyDescent="0.2">
      <c r="A366" s="291"/>
      <c r="B366" s="291"/>
      <c r="C366" s="637">
        <v>0</v>
      </c>
      <c r="D366" s="661"/>
      <c r="E366" s="644">
        <v>0</v>
      </c>
      <c r="F366" s="662"/>
      <c r="G366" s="662"/>
      <c r="H366" s="662"/>
      <c r="I366" s="646"/>
      <c r="J366" s="646"/>
      <c r="K366" s="646"/>
      <c r="L366" s="646">
        <f t="shared" si="27"/>
        <v>0</v>
      </c>
      <c r="M366" s="663">
        <f t="shared" si="24"/>
        <v>0</v>
      </c>
      <c r="N366" s="672"/>
      <c r="O366" s="701">
        <f t="shared" si="25"/>
        <v>0</v>
      </c>
      <c r="P366" s="672"/>
      <c r="Q366" s="672"/>
      <c r="R366" s="672"/>
      <c r="S366" s="672"/>
      <c r="T366" s="672"/>
      <c r="XFC366" s="674">
        <f t="shared" si="23"/>
        <v>0</v>
      </c>
      <c r="XFD366" s="678">
        <f t="shared" si="26"/>
        <v>0</v>
      </c>
    </row>
    <row r="367" spans="1:20 16383:16384" s="674" customFormat="1" hidden="1" outlineLevel="1" x14ac:dyDescent="0.2">
      <c r="A367" s="291"/>
      <c r="B367" s="291"/>
      <c r="C367" s="637">
        <v>0</v>
      </c>
      <c r="D367" s="661"/>
      <c r="E367" s="644">
        <v>0</v>
      </c>
      <c r="F367" s="662"/>
      <c r="G367" s="662"/>
      <c r="H367" s="662"/>
      <c r="I367" s="646"/>
      <c r="J367" s="646"/>
      <c r="K367" s="646"/>
      <c r="L367" s="646">
        <f t="shared" si="27"/>
        <v>0</v>
      </c>
      <c r="M367" s="663">
        <f t="shared" si="24"/>
        <v>0</v>
      </c>
      <c r="N367" s="672"/>
      <c r="O367" s="701">
        <f t="shared" si="25"/>
        <v>0</v>
      </c>
      <c r="P367" s="672"/>
      <c r="Q367" s="672"/>
      <c r="R367" s="672"/>
      <c r="S367" s="672"/>
      <c r="T367" s="672"/>
      <c r="XFC367" s="674">
        <f t="shared" si="23"/>
        <v>0</v>
      </c>
      <c r="XFD367" s="678">
        <f t="shared" si="26"/>
        <v>0</v>
      </c>
    </row>
    <row r="368" spans="1:20 16383:16384" s="674" customFormat="1" hidden="1" outlineLevel="1" x14ac:dyDescent="0.2">
      <c r="A368" s="291"/>
      <c r="B368" s="291"/>
      <c r="C368" s="637">
        <v>0</v>
      </c>
      <c r="D368" s="661"/>
      <c r="E368" s="644">
        <v>0</v>
      </c>
      <c r="F368" s="662"/>
      <c r="G368" s="662"/>
      <c r="H368" s="662"/>
      <c r="I368" s="646"/>
      <c r="J368" s="646"/>
      <c r="K368" s="646"/>
      <c r="L368" s="646">
        <f t="shared" si="27"/>
        <v>0</v>
      </c>
      <c r="M368" s="663">
        <f t="shared" si="24"/>
        <v>0</v>
      </c>
      <c r="N368" s="672"/>
      <c r="O368" s="701">
        <f t="shared" si="25"/>
        <v>0</v>
      </c>
      <c r="P368" s="672"/>
      <c r="Q368" s="672"/>
      <c r="R368" s="672"/>
      <c r="S368" s="672"/>
      <c r="T368" s="672"/>
      <c r="XFC368" s="674">
        <f t="shared" si="23"/>
        <v>0</v>
      </c>
      <c r="XFD368" s="678">
        <f t="shared" si="26"/>
        <v>0</v>
      </c>
    </row>
    <row r="369" spans="1:20 16383:16384" s="674" customFormat="1" hidden="1" outlineLevel="1" x14ac:dyDescent="0.2">
      <c r="A369" s="291"/>
      <c r="B369" s="291"/>
      <c r="C369" s="637">
        <v>0</v>
      </c>
      <c r="D369" s="661"/>
      <c r="E369" s="644">
        <v>0</v>
      </c>
      <c r="F369" s="662"/>
      <c r="G369" s="662"/>
      <c r="H369" s="662"/>
      <c r="I369" s="646"/>
      <c r="J369" s="646"/>
      <c r="K369" s="646"/>
      <c r="L369" s="646">
        <f t="shared" si="27"/>
        <v>0</v>
      </c>
      <c r="M369" s="663">
        <f t="shared" si="24"/>
        <v>0</v>
      </c>
      <c r="N369" s="672"/>
      <c r="O369" s="701">
        <f t="shared" si="25"/>
        <v>0</v>
      </c>
      <c r="P369" s="672"/>
      <c r="Q369" s="672"/>
      <c r="R369" s="672"/>
      <c r="S369" s="672"/>
      <c r="T369" s="672"/>
      <c r="XFC369" s="674">
        <f t="shared" si="23"/>
        <v>0</v>
      </c>
      <c r="XFD369" s="678">
        <f t="shared" si="26"/>
        <v>0</v>
      </c>
    </row>
    <row r="370" spans="1:20 16383:16384" s="674" customFormat="1" hidden="1" outlineLevel="1" x14ac:dyDescent="0.2">
      <c r="A370" s="291"/>
      <c r="B370" s="291"/>
      <c r="C370" s="637">
        <v>0</v>
      </c>
      <c r="D370" s="661"/>
      <c r="E370" s="644">
        <v>0</v>
      </c>
      <c r="F370" s="662"/>
      <c r="G370" s="662"/>
      <c r="H370" s="662"/>
      <c r="I370" s="646"/>
      <c r="J370" s="646"/>
      <c r="K370" s="646"/>
      <c r="L370" s="646">
        <f t="shared" si="27"/>
        <v>0</v>
      </c>
      <c r="M370" s="663">
        <f t="shared" si="24"/>
        <v>0</v>
      </c>
      <c r="N370" s="672"/>
      <c r="O370" s="701">
        <f t="shared" si="25"/>
        <v>0</v>
      </c>
      <c r="P370" s="672"/>
      <c r="Q370" s="672"/>
      <c r="R370" s="672"/>
      <c r="S370" s="672"/>
      <c r="T370" s="672"/>
      <c r="XFC370" s="674">
        <f t="shared" si="23"/>
        <v>0</v>
      </c>
      <c r="XFD370" s="678">
        <f t="shared" si="26"/>
        <v>0</v>
      </c>
    </row>
    <row r="371" spans="1:20 16383:16384" s="674" customFormat="1" hidden="1" outlineLevel="1" x14ac:dyDescent="0.2">
      <c r="A371" s="291"/>
      <c r="B371" s="291"/>
      <c r="C371" s="637">
        <v>0</v>
      </c>
      <c r="D371" s="661"/>
      <c r="E371" s="644">
        <v>0</v>
      </c>
      <c r="F371" s="662"/>
      <c r="G371" s="662"/>
      <c r="H371" s="662"/>
      <c r="I371" s="646"/>
      <c r="J371" s="646"/>
      <c r="K371" s="646"/>
      <c r="L371" s="646">
        <f t="shared" si="27"/>
        <v>0</v>
      </c>
      <c r="M371" s="663">
        <f t="shared" si="24"/>
        <v>0</v>
      </c>
      <c r="N371" s="672"/>
      <c r="O371" s="701">
        <f t="shared" si="25"/>
        <v>0</v>
      </c>
      <c r="P371" s="672"/>
      <c r="Q371" s="672"/>
      <c r="R371" s="672"/>
      <c r="S371" s="672"/>
      <c r="T371" s="672"/>
      <c r="XFC371" s="674">
        <f t="shared" si="23"/>
        <v>0</v>
      </c>
      <c r="XFD371" s="678">
        <f t="shared" si="26"/>
        <v>0</v>
      </c>
    </row>
    <row r="372" spans="1:20 16383:16384" s="674" customFormat="1" hidden="1" outlineLevel="1" x14ac:dyDescent="0.2">
      <c r="A372" s="291"/>
      <c r="B372" s="291"/>
      <c r="C372" s="637">
        <v>0</v>
      </c>
      <c r="D372" s="661"/>
      <c r="E372" s="644">
        <v>0</v>
      </c>
      <c r="F372" s="662"/>
      <c r="G372" s="662"/>
      <c r="H372" s="662"/>
      <c r="I372" s="646"/>
      <c r="J372" s="646"/>
      <c r="K372" s="646"/>
      <c r="L372" s="646">
        <f t="shared" si="27"/>
        <v>0</v>
      </c>
      <c r="M372" s="663">
        <f t="shared" si="24"/>
        <v>0</v>
      </c>
      <c r="N372" s="672"/>
      <c r="O372" s="701">
        <f t="shared" si="25"/>
        <v>0</v>
      </c>
      <c r="P372" s="672"/>
      <c r="Q372" s="672"/>
      <c r="R372" s="672"/>
      <c r="S372" s="672"/>
      <c r="T372" s="672"/>
      <c r="XFC372" s="674">
        <f t="shared" si="23"/>
        <v>0</v>
      </c>
      <c r="XFD372" s="678">
        <f t="shared" si="26"/>
        <v>0</v>
      </c>
    </row>
    <row r="373" spans="1:20 16383:16384" s="674" customFormat="1" hidden="1" outlineLevel="1" x14ac:dyDescent="0.2">
      <c r="A373" s="291"/>
      <c r="B373" s="291"/>
      <c r="C373" s="637">
        <v>0</v>
      </c>
      <c r="D373" s="661"/>
      <c r="E373" s="644">
        <v>0</v>
      </c>
      <c r="F373" s="662"/>
      <c r="G373" s="662"/>
      <c r="H373" s="662"/>
      <c r="I373" s="646"/>
      <c r="J373" s="646"/>
      <c r="K373" s="646"/>
      <c r="L373" s="646">
        <f t="shared" si="27"/>
        <v>0</v>
      </c>
      <c r="M373" s="663">
        <f t="shared" si="24"/>
        <v>0</v>
      </c>
      <c r="N373" s="672"/>
      <c r="O373" s="701">
        <f t="shared" si="25"/>
        <v>0</v>
      </c>
      <c r="P373" s="672"/>
      <c r="Q373" s="672"/>
      <c r="R373" s="672"/>
      <c r="S373" s="672"/>
      <c r="T373" s="672"/>
      <c r="XFC373" s="674">
        <f t="shared" si="23"/>
        <v>0</v>
      </c>
      <c r="XFD373" s="678">
        <f t="shared" si="26"/>
        <v>0</v>
      </c>
    </row>
    <row r="374" spans="1:20 16383:16384" s="674" customFormat="1" hidden="1" outlineLevel="1" x14ac:dyDescent="0.2">
      <c r="A374" s="291"/>
      <c r="B374" s="291"/>
      <c r="C374" s="637">
        <v>0</v>
      </c>
      <c r="D374" s="661"/>
      <c r="E374" s="644">
        <v>0</v>
      </c>
      <c r="F374" s="662"/>
      <c r="G374" s="662"/>
      <c r="H374" s="662"/>
      <c r="I374" s="646"/>
      <c r="J374" s="646"/>
      <c r="K374" s="646"/>
      <c r="L374" s="646">
        <f t="shared" si="27"/>
        <v>0</v>
      </c>
      <c r="M374" s="663">
        <f t="shared" si="24"/>
        <v>0</v>
      </c>
      <c r="N374" s="672"/>
      <c r="O374" s="701">
        <f t="shared" si="25"/>
        <v>0</v>
      </c>
      <c r="P374" s="672"/>
      <c r="Q374" s="672"/>
      <c r="R374" s="672"/>
      <c r="S374" s="672"/>
      <c r="T374" s="672"/>
      <c r="XFC374" s="674">
        <f t="shared" si="23"/>
        <v>0</v>
      </c>
      <c r="XFD374" s="678">
        <f t="shared" si="26"/>
        <v>0</v>
      </c>
    </row>
    <row r="375" spans="1:20 16383:16384" s="674" customFormat="1" hidden="1" outlineLevel="1" x14ac:dyDescent="0.2">
      <c r="A375" s="291"/>
      <c r="B375" s="291"/>
      <c r="C375" s="637">
        <v>0</v>
      </c>
      <c r="D375" s="661"/>
      <c r="E375" s="644">
        <v>0</v>
      </c>
      <c r="F375" s="662"/>
      <c r="G375" s="662"/>
      <c r="H375" s="662"/>
      <c r="I375" s="646"/>
      <c r="J375" s="646"/>
      <c r="K375" s="646"/>
      <c r="L375" s="646">
        <f t="shared" si="27"/>
        <v>0</v>
      </c>
      <c r="M375" s="663">
        <f t="shared" si="24"/>
        <v>0</v>
      </c>
      <c r="N375" s="672"/>
      <c r="O375" s="701">
        <f t="shared" si="25"/>
        <v>0</v>
      </c>
      <c r="P375" s="672"/>
      <c r="Q375" s="672"/>
      <c r="R375" s="672"/>
      <c r="S375" s="672"/>
      <c r="T375" s="672"/>
      <c r="XFC375" s="674">
        <f t="shared" si="23"/>
        <v>0</v>
      </c>
      <c r="XFD375" s="678">
        <f t="shared" si="26"/>
        <v>0</v>
      </c>
    </row>
    <row r="376" spans="1:20 16383:16384" s="674" customFormat="1" hidden="1" outlineLevel="1" x14ac:dyDescent="0.2">
      <c r="A376" s="291"/>
      <c r="B376" s="291"/>
      <c r="C376" s="637">
        <v>0</v>
      </c>
      <c r="D376" s="661"/>
      <c r="E376" s="644">
        <v>0</v>
      </c>
      <c r="F376" s="662"/>
      <c r="G376" s="662"/>
      <c r="H376" s="662"/>
      <c r="I376" s="646"/>
      <c r="J376" s="646"/>
      <c r="K376" s="646"/>
      <c r="L376" s="646">
        <f t="shared" si="27"/>
        <v>0</v>
      </c>
      <c r="M376" s="663">
        <f t="shared" si="24"/>
        <v>0</v>
      </c>
      <c r="N376" s="672"/>
      <c r="O376" s="701">
        <f t="shared" si="25"/>
        <v>0</v>
      </c>
      <c r="P376" s="672"/>
      <c r="Q376" s="672"/>
      <c r="R376" s="672"/>
      <c r="S376" s="672"/>
      <c r="T376" s="672"/>
      <c r="XFC376" s="674">
        <f t="shared" si="23"/>
        <v>0</v>
      </c>
      <c r="XFD376" s="678">
        <f t="shared" si="26"/>
        <v>0</v>
      </c>
    </row>
    <row r="377" spans="1:20 16383:16384" s="674" customFormat="1" hidden="1" outlineLevel="1" x14ac:dyDescent="0.2">
      <c r="A377" s="291"/>
      <c r="B377" s="291"/>
      <c r="C377" s="637">
        <v>0</v>
      </c>
      <c r="D377" s="661"/>
      <c r="E377" s="644">
        <v>0</v>
      </c>
      <c r="F377" s="662"/>
      <c r="G377" s="662"/>
      <c r="H377" s="662"/>
      <c r="I377" s="646"/>
      <c r="J377" s="646"/>
      <c r="K377" s="646"/>
      <c r="L377" s="646">
        <f t="shared" si="27"/>
        <v>0</v>
      </c>
      <c r="M377" s="663">
        <f t="shared" si="24"/>
        <v>0</v>
      </c>
      <c r="N377" s="672"/>
      <c r="O377" s="701">
        <f t="shared" si="25"/>
        <v>0</v>
      </c>
      <c r="P377" s="672"/>
      <c r="Q377" s="672"/>
      <c r="R377" s="672"/>
      <c r="S377" s="672"/>
      <c r="T377" s="672"/>
      <c r="XFC377" s="674">
        <f t="shared" si="23"/>
        <v>0</v>
      </c>
      <c r="XFD377" s="678">
        <f t="shared" si="26"/>
        <v>0</v>
      </c>
    </row>
    <row r="378" spans="1:20 16383:16384" s="674" customFormat="1" hidden="1" outlineLevel="1" x14ac:dyDescent="0.2">
      <c r="A378" s="291"/>
      <c r="B378" s="291"/>
      <c r="C378" s="637">
        <v>0</v>
      </c>
      <c r="D378" s="661"/>
      <c r="E378" s="644">
        <v>0</v>
      </c>
      <c r="F378" s="662"/>
      <c r="G378" s="662"/>
      <c r="H378" s="662"/>
      <c r="I378" s="646"/>
      <c r="J378" s="646"/>
      <c r="K378" s="646"/>
      <c r="L378" s="646">
        <f t="shared" si="27"/>
        <v>0</v>
      </c>
      <c r="M378" s="663">
        <f t="shared" si="24"/>
        <v>0</v>
      </c>
      <c r="N378" s="672"/>
      <c r="O378" s="701">
        <f t="shared" si="25"/>
        <v>0</v>
      </c>
      <c r="P378" s="672"/>
      <c r="Q378" s="672"/>
      <c r="R378" s="672"/>
      <c r="S378" s="672"/>
      <c r="T378" s="672"/>
      <c r="XFC378" s="674">
        <f t="shared" si="23"/>
        <v>0</v>
      </c>
      <c r="XFD378" s="678">
        <f t="shared" si="26"/>
        <v>0</v>
      </c>
    </row>
    <row r="379" spans="1:20 16383:16384" s="674" customFormat="1" hidden="1" outlineLevel="1" x14ac:dyDescent="0.2">
      <c r="A379" s="291"/>
      <c r="B379" s="291"/>
      <c r="C379" s="637">
        <v>0</v>
      </c>
      <c r="D379" s="661"/>
      <c r="E379" s="644">
        <v>0</v>
      </c>
      <c r="F379" s="662"/>
      <c r="G379" s="662"/>
      <c r="H379" s="662"/>
      <c r="I379" s="646"/>
      <c r="J379" s="646"/>
      <c r="K379" s="646"/>
      <c r="L379" s="646">
        <f t="shared" si="27"/>
        <v>0</v>
      </c>
      <c r="M379" s="663">
        <f t="shared" si="24"/>
        <v>0</v>
      </c>
      <c r="N379" s="672"/>
      <c r="O379" s="701">
        <f t="shared" si="25"/>
        <v>0</v>
      </c>
      <c r="P379" s="672"/>
      <c r="Q379" s="672"/>
      <c r="R379" s="672"/>
      <c r="S379" s="672"/>
      <c r="T379" s="672"/>
      <c r="XFC379" s="674">
        <f t="shared" si="23"/>
        <v>0</v>
      </c>
      <c r="XFD379" s="678">
        <f t="shared" si="26"/>
        <v>0</v>
      </c>
    </row>
    <row r="380" spans="1:20 16383:16384" s="674" customFormat="1" hidden="1" outlineLevel="1" x14ac:dyDescent="0.2">
      <c r="A380" s="291"/>
      <c r="B380" s="291"/>
      <c r="C380" s="637">
        <v>0</v>
      </c>
      <c r="D380" s="661"/>
      <c r="E380" s="644">
        <v>0</v>
      </c>
      <c r="F380" s="662"/>
      <c r="G380" s="662"/>
      <c r="H380" s="662"/>
      <c r="I380" s="646"/>
      <c r="J380" s="646"/>
      <c r="K380" s="646"/>
      <c r="L380" s="646">
        <f t="shared" si="27"/>
        <v>0</v>
      </c>
      <c r="M380" s="663">
        <f t="shared" si="24"/>
        <v>0</v>
      </c>
      <c r="N380" s="672"/>
      <c r="O380" s="701">
        <f t="shared" si="25"/>
        <v>0</v>
      </c>
      <c r="P380" s="672"/>
      <c r="Q380" s="672"/>
      <c r="R380" s="672"/>
      <c r="S380" s="672"/>
      <c r="T380" s="672"/>
      <c r="XFC380" s="674">
        <f t="shared" si="23"/>
        <v>0</v>
      </c>
      <c r="XFD380" s="678">
        <f t="shared" si="26"/>
        <v>0</v>
      </c>
    </row>
    <row r="381" spans="1:20 16383:16384" s="674" customFormat="1" hidden="1" outlineLevel="1" x14ac:dyDescent="0.2">
      <c r="A381" s="291"/>
      <c r="B381" s="291"/>
      <c r="C381" s="637">
        <v>0</v>
      </c>
      <c r="D381" s="661"/>
      <c r="E381" s="644">
        <v>0</v>
      </c>
      <c r="F381" s="662"/>
      <c r="G381" s="662"/>
      <c r="H381" s="662"/>
      <c r="I381" s="646"/>
      <c r="J381" s="646"/>
      <c r="K381" s="646"/>
      <c r="L381" s="646">
        <f t="shared" si="27"/>
        <v>0</v>
      </c>
      <c r="M381" s="663">
        <f t="shared" si="24"/>
        <v>0</v>
      </c>
      <c r="N381" s="672"/>
      <c r="O381" s="701">
        <f t="shared" si="25"/>
        <v>0</v>
      </c>
      <c r="P381" s="672"/>
      <c r="Q381" s="672"/>
      <c r="R381" s="672"/>
      <c r="S381" s="672"/>
      <c r="T381" s="672"/>
      <c r="XFC381" s="674">
        <f t="shared" si="23"/>
        <v>0</v>
      </c>
      <c r="XFD381" s="678">
        <f t="shared" si="26"/>
        <v>0</v>
      </c>
    </row>
    <row r="382" spans="1:20 16383:16384" s="674" customFormat="1" hidden="1" outlineLevel="1" x14ac:dyDescent="0.2">
      <c r="A382" s="291"/>
      <c r="B382" s="291"/>
      <c r="C382" s="637">
        <v>0</v>
      </c>
      <c r="D382" s="661"/>
      <c r="E382" s="644">
        <v>0</v>
      </c>
      <c r="F382" s="662"/>
      <c r="G382" s="662"/>
      <c r="H382" s="662"/>
      <c r="I382" s="646"/>
      <c r="J382" s="646"/>
      <c r="K382" s="646"/>
      <c r="L382" s="646">
        <f t="shared" si="27"/>
        <v>0</v>
      </c>
      <c r="M382" s="663">
        <f t="shared" si="24"/>
        <v>0</v>
      </c>
      <c r="N382" s="672"/>
      <c r="O382" s="701">
        <f t="shared" si="25"/>
        <v>0</v>
      </c>
      <c r="P382" s="672"/>
      <c r="Q382" s="672"/>
      <c r="R382" s="672"/>
      <c r="S382" s="672"/>
      <c r="T382" s="672"/>
      <c r="XFC382" s="674">
        <f t="shared" si="23"/>
        <v>0</v>
      </c>
      <c r="XFD382" s="678">
        <f t="shared" si="26"/>
        <v>0</v>
      </c>
    </row>
    <row r="383" spans="1:20 16383:16384" s="674" customFormat="1" hidden="1" outlineLevel="1" x14ac:dyDescent="0.2">
      <c r="A383" s="291"/>
      <c r="B383" s="291"/>
      <c r="C383" s="637">
        <v>0</v>
      </c>
      <c r="D383" s="661"/>
      <c r="E383" s="644">
        <v>0</v>
      </c>
      <c r="F383" s="662"/>
      <c r="G383" s="662"/>
      <c r="H383" s="662"/>
      <c r="I383" s="646"/>
      <c r="J383" s="646"/>
      <c r="K383" s="646"/>
      <c r="L383" s="646">
        <f t="shared" si="27"/>
        <v>0</v>
      </c>
      <c r="M383" s="663">
        <f t="shared" si="24"/>
        <v>0</v>
      </c>
      <c r="N383" s="672"/>
      <c r="O383" s="701">
        <f t="shared" si="25"/>
        <v>0</v>
      </c>
      <c r="P383" s="672"/>
      <c r="Q383" s="672"/>
      <c r="R383" s="672"/>
      <c r="S383" s="672"/>
      <c r="T383" s="672"/>
      <c r="XFC383" s="674">
        <f t="shared" si="23"/>
        <v>0</v>
      </c>
      <c r="XFD383" s="678">
        <f t="shared" si="26"/>
        <v>0</v>
      </c>
    </row>
    <row r="384" spans="1:20 16383:16384" s="674" customFormat="1" hidden="1" outlineLevel="1" x14ac:dyDescent="0.2">
      <c r="A384" s="291"/>
      <c r="B384" s="291"/>
      <c r="C384" s="637">
        <v>0</v>
      </c>
      <c r="D384" s="661"/>
      <c r="E384" s="644">
        <v>0</v>
      </c>
      <c r="F384" s="662"/>
      <c r="G384" s="662"/>
      <c r="H384" s="662"/>
      <c r="I384" s="646"/>
      <c r="J384" s="646"/>
      <c r="K384" s="646"/>
      <c r="L384" s="646">
        <f t="shared" si="27"/>
        <v>0</v>
      </c>
      <c r="M384" s="663">
        <f t="shared" si="24"/>
        <v>0</v>
      </c>
      <c r="N384" s="672"/>
      <c r="O384" s="701">
        <f t="shared" si="25"/>
        <v>0</v>
      </c>
      <c r="P384" s="672"/>
      <c r="Q384" s="672"/>
      <c r="R384" s="672"/>
      <c r="S384" s="672"/>
      <c r="T384" s="672"/>
      <c r="XFC384" s="674">
        <f t="shared" si="23"/>
        <v>0</v>
      </c>
      <c r="XFD384" s="678">
        <f t="shared" si="26"/>
        <v>0</v>
      </c>
    </row>
    <row r="385" spans="1:20 16383:16384" s="674" customFormat="1" hidden="1" outlineLevel="1" x14ac:dyDescent="0.2">
      <c r="A385" s="291"/>
      <c r="B385" s="291"/>
      <c r="C385" s="637">
        <v>0</v>
      </c>
      <c r="D385" s="661"/>
      <c r="E385" s="644">
        <v>0</v>
      </c>
      <c r="F385" s="662"/>
      <c r="G385" s="662"/>
      <c r="H385" s="662"/>
      <c r="I385" s="646"/>
      <c r="J385" s="646"/>
      <c r="K385" s="646"/>
      <c r="L385" s="646">
        <f t="shared" si="27"/>
        <v>0</v>
      </c>
      <c r="M385" s="663">
        <f t="shared" si="24"/>
        <v>0</v>
      </c>
      <c r="N385" s="672"/>
      <c r="O385" s="701">
        <f t="shared" si="25"/>
        <v>0</v>
      </c>
      <c r="P385" s="672"/>
      <c r="Q385" s="672"/>
      <c r="R385" s="672"/>
      <c r="S385" s="672"/>
      <c r="T385" s="672"/>
      <c r="XFC385" s="674">
        <f t="shared" si="23"/>
        <v>0</v>
      </c>
      <c r="XFD385" s="678">
        <f t="shared" si="26"/>
        <v>0</v>
      </c>
    </row>
    <row r="386" spans="1:20 16383:16384" s="674" customFormat="1" hidden="1" outlineLevel="1" x14ac:dyDescent="0.2">
      <c r="A386" s="291"/>
      <c r="B386" s="291"/>
      <c r="C386" s="637">
        <v>0</v>
      </c>
      <c r="D386" s="661"/>
      <c r="E386" s="644">
        <v>0</v>
      </c>
      <c r="F386" s="662"/>
      <c r="G386" s="662"/>
      <c r="H386" s="662"/>
      <c r="I386" s="646"/>
      <c r="J386" s="646"/>
      <c r="K386" s="646"/>
      <c r="L386" s="646">
        <f t="shared" si="27"/>
        <v>0</v>
      </c>
      <c r="M386" s="663">
        <f t="shared" si="24"/>
        <v>0</v>
      </c>
      <c r="N386" s="672"/>
      <c r="O386" s="701">
        <f t="shared" si="25"/>
        <v>0</v>
      </c>
      <c r="P386" s="672"/>
      <c r="Q386" s="672"/>
      <c r="R386" s="672"/>
      <c r="S386" s="672"/>
      <c r="T386" s="672"/>
      <c r="XFC386" s="674">
        <f t="shared" si="23"/>
        <v>0</v>
      </c>
      <c r="XFD386" s="678">
        <f t="shared" si="26"/>
        <v>0</v>
      </c>
    </row>
    <row r="387" spans="1:20 16383:16384" s="674" customFormat="1" hidden="1" outlineLevel="1" x14ac:dyDescent="0.2">
      <c r="A387" s="291"/>
      <c r="B387" s="291"/>
      <c r="C387" s="637">
        <v>0</v>
      </c>
      <c r="D387" s="661"/>
      <c r="E387" s="644">
        <v>0</v>
      </c>
      <c r="F387" s="662"/>
      <c r="G387" s="662"/>
      <c r="H387" s="662"/>
      <c r="I387" s="646"/>
      <c r="J387" s="646"/>
      <c r="K387" s="646"/>
      <c r="L387" s="646">
        <f t="shared" si="27"/>
        <v>0</v>
      </c>
      <c r="M387" s="663">
        <f t="shared" si="24"/>
        <v>0</v>
      </c>
      <c r="N387" s="672"/>
      <c r="O387" s="701">
        <f t="shared" si="25"/>
        <v>0</v>
      </c>
      <c r="P387" s="672"/>
      <c r="Q387" s="672"/>
      <c r="R387" s="672"/>
      <c r="S387" s="672"/>
      <c r="T387" s="672"/>
      <c r="XFC387" s="674">
        <f t="shared" si="23"/>
        <v>0</v>
      </c>
      <c r="XFD387" s="678">
        <f t="shared" si="26"/>
        <v>0</v>
      </c>
    </row>
    <row r="388" spans="1:20 16383:16384" s="674" customFormat="1" hidden="1" outlineLevel="1" x14ac:dyDescent="0.2">
      <c r="A388" s="291"/>
      <c r="B388" s="291"/>
      <c r="C388" s="637">
        <v>0</v>
      </c>
      <c r="D388" s="661"/>
      <c r="E388" s="644">
        <v>0</v>
      </c>
      <c r="F388" s="662"/>
      <c r="G388" s="662"/>
      <c r="H388" s="662"/>
      <c r="I388" s="646"/>
      <c r="J388" s="646"/>
      <c r="K388" s="646"/>
      <c r="L388" s="646">
        <f t="shared" si="27"/>
        <v>0</v>
      </c>
      <c r="M388" s="663">
        <f t="shared" si="24"/>
        <v>0</v>
      </c>
      <c r="N388" s="672"/>
      <c r="O388" s="701">
        <f t="shared" si="25"/>
        <v>0</v>
      </c>
      <c r="P388" s="672"/>
      <c r="Q388" s="672"/>
      <c r="R388" s="672"/>
      <c r="S388" s="672"/>
      <c r="T388" s="672"/>
      <c r="XFC388" s="674">
        <f t="shared" si="23"/>
        <v>0</v>
      </c>
      <c r="XFD388" s="678">
        <f t="shared" si="26"/>
        <v>0</v>
      </c>
    </row>
    <row r="389" spans="1:20 16383:16384" s="674" customFormat="1" hidden="1" outlineLevel="1" x14ac:dyDescent="0.2">
      <c r="A389" s="291"/>
      <c r="B389" s="291"/>
      <c r="C389" s="637">
        <v>0</v>
      </c>
      <c r="D389" s="661"/>
      <c r="E389" s="644">
        <v>0</v>
      </c>
      <c r="F389" s="662"/>
      <c r="G389" s="662"/>
      <c r="H389" s="662"/>
      <c r="I389" s="646"/>
      <c r="J389" s="646"/>
      <c r="K389" s="646"/>
      <c r="L389" s="646">
        <f t="shared" si="27"/>
        <v>0</v>
      </c>
      <c r="M389" s="663">
        <f t="shared" si="24"/>
        <v>0</v>
      </c>
      <c r="N389" s="672"/>
      <c r="O389" s="701">
        <f t="shared" si="25"/>
        <v>0</v>
      </c>
      <c r="P389" s="672"/>
      <c r="Q389" s="672"/>
      <c r="R389" s="672"/>
      <c r="S389" s="672"/>
      <c r="T389" s="672"/>
      <c r="XFC389" s="674">
        <f t="shared" si="23"/>
        <v>0</v>
      </c>
      <c r="XFD389" s="678">
        <f t="shared" si="26"/>
        <v>0</v>
      </c>
    </row>
    <row r="390" spans="1:20 16383:16384" s="674" customFormat="1" hidden="1" outlineLevel="1" x14ac:dyDescent="0.2">
      <c r="A390" s="291"/>
      <c r="B390" s="291"/>
      <c r="C390" s="637">
        <v>0</v>
      </c>
      <c r="D390" s="661"/>
      <c r="E390" s="644">
        <v>0</v>
      </c>
      <c r="F390" s="662"/>
      <c r="G390" s="662"/>
      <c r="H390" s="662"/>
      <c r="I390" s="646"/>
      <c r="J390" s="646"/>
      <c r="K390" s="646"/>
      <c r="L390" s="646">
        <f t="shared" si="27"/>
        <v>0</v>
      </c>
      <c r="M390" s="663">
        <f t="shared" si="24"/>
        <v>0</v>
      </c>
      <c r="N390" s="672"/>
      <c r="O390" s="701">
        <f t="shared" si="25"/>
        <v>0</v>
      </c>
      <c r="P390" s="672"/>
      <c r="Q390" s="672"/>
      <c r="R390" s="672"/>
      <c r="S390" s="672"/>
      <c r="T390" s="672"/>
      <c r="XFC390" s="674">
        <f t="shared" si="23"/>
        <v>0</v>
      </c>
      <c r="XFD390" s="678">
        <f t="shared" si="26"/>
        <v>0</v>
      </c>
    </row>
    <row r="391" spans="1:20 16383:16384" s="674" customFormat="1" hidden="1" outlineLevel="1" x14ac:dyDescent="0.2">
      <c r="A391" s="291"/>
      <c r="B391" s="291"/>
      <c r="C391" s="637">
        <v>0</v>
      </c>
      <c r="D391" s="661"/>
      <c r="E391" s="644">
        <v>0</v>
      </c>
      <c r="F391" s="662"/>
      <c r="G391" s="662"/>
      <c r="H391" s="662"/>
      <c r="I391" s="646"/>
      <c r="J391" s="646"/>
      <c r="K391" s="646"/>
      <c r="L391" s="646">
        <f t="shared" si="27"/>
        <v>0</v>
      </c>
      <c r="M391" s="663">
        <f t="shared" si="24"/>
        <v>0</v>
      </c>
      <c r="N391" s="672"/>
      <c r="O391" s="701">
        <f t="shared" si="25"/>
        <v>0</v>
      </c>
      <c r="P391" s="672"/>
      <c r="Q391" s="672"/>
      <c r="R391" s="672"/>
      <c r="S391" s="672"/>
      <c r="T391" s="672"/>
      <c r="XFC391" s="674">
        <f t="shared" si="23"/>
        <v>0</v>
      </c>
      <c r="XFD391" s="678">
        <f t="shared" si="26"/>
        <v>0</v>
      </c>
    </row>
    <row r="392" spans="1:20 16383:16384" s="674" customFormat="1" hidden="1" outlineLevel="1" x14ac:dyDescent="0.2">
      <c r="A392" s="291"/>
      <c r="B392" s="291"/>
      <c r="C392" s="637">
        <v>0</v>
      </c>
      <c r="D392" s="661"/>
      <c r="E392" s="644">
        <v>0</v>
      </c>
      <c r="F392" s="662"/>
      <c r="G392" s="662"/>
      <c r="H392" s="662"/>
      <c r="I392" s="646"/>
      <c r="J392" s="646"/>
      <c r="K392" s="646"/>
      <c r="L392" s="646">
        <f t="shared" si="27"/>
        <v>0</v>
      </c>
      <c r="M392" s="663">
        <f t="shared" si="24"/>
        <v>0</v>
      </c>
      <c r="N392" s="672"/>
      <c r="O392" s="701">
        <f t="shared" si="25"/>
        <v>0</v>
      </c>
      <c r="P392" s="672"/>
      <c r="Q392" s="672"/>
      <c r="R392" s="672"/>
      <c r="S392" s="672"/>
      <c r="T392" s="672"/>
      <c r="XFC392" s="674">
        <f t="shared" si="23"/>
        <v>0</v>
      </c>
      <c r="XFD392" s="678">
        <f t="shared" si="26"/>
        <v>0</v>
      </c>
    </row>
    <row r="393" spans="1:20 16383:16384" s="674" customFormat="1" hidden="1" outlineLevel="1" x14ac:dyDescent="0.2">
      <c r="A393" s="291"/>
      <c r="B393" s="291"/>
      <c r="C393" s="637">
        <v>0</v>
      </c>
      <c r="D393" s="661"/>
      <c r="E393" s="644">
        <v>0</v>
      </c>
      <c r="F393" s="662"/>
      <c r="G393" s="662"/>
      <c r="H393" s="662"/>
      <c r="I393" s="646"/>
      <c r="J393" s="646"/>
      <c r="K393" s="646"/>
      <c r="L393" s="646">
        <f t="shared" si="27"/>
        <v>0</v>
      </c>
      <c r="M393" s="663">
        <f t="shared" si="24"/>
        <v>0</v>
      </c>
      <c r="N393" s="672"/>
      <c r="O393" s="701">
        <f t="shared" si="25"/>
        <v>0</v>
      </c>
      <c r="P393" s="672"/>
      <c r="Q393" s="672"/>
      <c r="R393" s="672"/>
      <c r="S393" s="672"/>
      <c r="T393" s="672"/>
      <c r="XFC393" s="674">
        <f t="shared" si="23"/>
        <v>0</v>
      </c>
      <c r="XFD393" s="678">
        <f t="shared" si="26"/>
        <v>0</v>
      </c>
    </row>
    <row r="394" spans="1:20 16383:16384" s="674" customFormat="1" hidden="1" outlineLevel="1" x14ac:dyDescent="0.2">
      <c r="A394" s="291"/>
      <c r="B394" s="291"/>
      <c r="C394" s="637">
        <v>0</v>
      </c>
      <c r="D394" s="661"/>
      <c r="E394" s="644">
        <v>0</v>
      </c>
      <c r="F394" s="662"/>
      <c r="G394" s="662"/>
      <c r="H394" s="662"/>
      <c r="I394" s="646"/>
      <c r="J394" s="646"/>
      <c r="K394" s="646"/>
      <c r="L394" s="646">
        <f t="shared" si="27"/>
        <v>0</v>
      </c>
      <c r="M394" s="663">
        <f t="shared" si="24"/>
        <v>0</v>
      </c>
      <c r="N394" s="672"/>
      <c r="O394" s="701">
        <f t="shared" si="25"/>
        <v>0</v>
      </c>
      <c r="P394" s="672"/>
      <c r="Q394" s="672"/>
      <c r="R394" s="672"/>
      <c r="S394" s="672"/>
      <c r="T394" s="672"/>
      <c r="XFC394" s="674">
        <f t="shared" si="23"/>
        <v>0</v>
      </c>
      <c r="XFD394" s="678">
        <f t="shared" si="26"/>
        <v>0</v>
      </c>
    </row>
    <row r="395" spans="1:20 16383:16384" s="674" customFormat="1" hidden="1" outlineLevel="1" x14ac:dyDescent="0.2">
      <c r="A395" s="291"/>
      <c r="B395" s="291"/>
      <c r="C395" s="637">
        <v>0</v>
      </c>
      <c r="D395" s="661"/>
      <c r="E395" s="644">
        <v>0</v>
      </c>
      <c r="F395" s="662"/>
      <c r="G395" s="662"/>
      <c r="H395" s="662"/>
      <c r="I395" s="646"/>
      <c r="J395" s="646"/>
      <c r="K395" s="646"/>
      <c r="L395" s="646">
        <f t="shared" si="27"/>
        <v>0</v>
      </c>
      <c r="M395" s="663">
        <f t="shared" si="24"/>
        <v>0</v>
      </c>
      <c r="N395" s="672"/>
      <c r="O395" s="701">
        <f t="shared" si="25"/>
        <v>0</v>
      </c>
      <c r="P395" s="672"/>
      <c r="Q395" s="672"/>
      <c r="R395" s="672"/>
      <c r="S395" s="672"/>
      <c r="T395" s="672"/>
      <c r="XFC395" s="674">
        <f t="shared" si="23"/>
        <v>0</v>
      </c>
      <c r="XFD395" s="678">
        <f t="shared" si="26"/>
        <v>0</v>
      </c>
    </row>
    <row r="396" spans="1:20 16383:16384" s="674" customFormat="1" hidden="1" outlineLevel="1" x14ac:dyDescent="0.2">
      <c r="A396" s="291"/>
      <c r="B396" s="291"/>
      <c r="C396" s="637">
        <v>0</v>
      </c>
      <c r="D396" s="661"/>
      <c r="E396" s="644">
        <v>0</v>
      </c>
      <c r="F396" s="662"/>
      <c r="G396" s="662"/>
      <c r="H396" s="662"/>
      <c r="I396" s="646"/>
      <c r="J396" s="646"/>
      <c r="K396" s="646"/>
      <c r="L396" s="646">
        <f t="shared" si="27"/>
        <v>0</v>
      </c>
      <c r="M396" s="663">
        <f t="shared" si="24"/>
        <v>0</v>
      </c>
      <c r="N396" s="672"/>
      <c r="O396" s="701">
        <f t="shared" si="25"/>
        <v>0</v>
      </c>
      <c r="P396" s="672"/>
      <c r="Q396" s="672"/>
      <c r="R396" s="672"/>
      <c r="S396" s="672"/>
      <c r="T396" s="672"/>
      <c r="XFC396" s="674">
        <f t="shared" si="23"/>
        <v>0</v>
      </c>
      <c r="XFD396" s="678">
        <f t="shared" si="26"/>
        <v>0</v>
      </c>
    </row>
    <row r="397" spans="1:20 16383:16384" s="674" customFormat="1" hidden="1" outlineLevel="1" x14ac:dyDescent="0.2">
      <c r="A397" s="291"/>
      <c r="B397" s="291"/>
      <c r="C397" s="637">
        <v>0</v>
      </c>
      <c r="D397" s="661"/>
      <c r="E397" s="644">
        <v>0</v>
      </c>
      <c r="F397" s="662"/>
      <c r="G397" s="662"/>
      <c r="H397" s="662"/>
      <c r="I397" s="646"/>
      <c r="J397" s="646"/>
      <c r="K397" s="646"/>
      <c r="L397" s="646">
        <f t="shared" si="27"/>
        <v>0</v>
      </c>
      <c r="M397" s="663">
        <f t="shared" si="24"/>
        <v>0</v>
      </c>
      <c r="N397" s="672"/>
      <c r="O397" s="701">
        <f t="shared" si="25"/>
        <v>0</v>
      </c>
      <c r="P397" s="672"/>
      <c r="Q397" s="672"/>
      <c r="R397" s="672"/>
      <c r="S397" s="672"/>
      <c r="T397" s="672"/>
      <c r="XFC397" s="674">
        <f t="shared" si="23"/>
        <v>0</v>
      </c>
      <c r="XFD397" s="678">
        <f t="shared" si="26"/>
        <v>0</v>
      </c>
    </row>
    <row r="398" spans="1:20 16383:16384" s="674" customFormat="1" hidden="1" outlineLevel="1" x14ac:dyDescent="0.2">
      <c r="A398" s="291"/>
      <c r="B398" s="291"/>
      <c r="C398" s="637">
        <v>0</v>
      </c>
      <c r="D398" s="661"/>
      <c r="E398" s="644">
        <v>0</v>
      </c>
      <c r="F398" s="662"/>
      <c r="G398" s="662"/>
      <c r="H398" s="662"/>
      <c r="I398" s="646"/>
      <c r="J398" s="646"/>
      <c r="K398" s="646"/>
      <c r="L398" s="646">
        <f t="shared" si="27"/>
        <v>0</v>
      </c>
      <c r="M398" s="663">
        <f t="shared" si="24"/>
        <v>0</v>
      </c>
      <c r="N398" s="672"/>
      <c r="O398" s="701">
        <f t="shared" si="25"/>
        <v>0</v>
      </c>
      <c r="P398" s="672"/>
      <c r="Q398" s="672"/>
      <c r="R398" s="672"/>
      <c r="S398" s="672"/>
      <c r="T398" s="672"/>
      <c r="XFC398" s="674">
        <f t="shared" si="23"/>
        <v>0</v>
      </c>
      <c r="XFD398" s="678">
        <f t="shared" si="26"/>
        <v>0</v>
      </c>
    </row>
    <row r="399" spans="1:20 16383:16384" s="674" customFormat="1" hidden="1" outlineLevel="1" x14ac:dyDescent="0.2">
      <c r="A399" s="291"/>
      <c r="B399" s="291"/>
      <c r="C399" s="637">
        <v>0</v>
      </c>
      <c r="D399" s="661"/>
      <c r="E399" s="644">
        <v>0</v>
      </c>
      <c r="F399" s="662"/>
      <c r="G399" s="662"/>
      <c r="H399" s="662"/>
      <c r="I399" s="646"/>
      <c r="J399" s="646"/>
      <c r="K399" s="646"/>
      <c r="L399" s="646">
        <f t="shared" si="27"/>
        <v>0</v>
      </c>
      <c r="M399" s="663">
        <f t="shared" si="24"/>
        <v>0</v>
      </c>
      <c r="N399" s="672"/>
      <c r="O399" s="701">
        <f t="shared" si="25"/>
        <v>0</v>
      </c>
      <c r="P399" s="672"/>
      <c r="Q399" s="672"/>
      <c r="R399" s="672"/>
      <c r="S399" s="672"/>
      <c r="T399" s="672"/>
      <c r="XFC399" s="674">
        <f t="shared" si="23"/>
        <v>0</v>
      </c>
      <c r="XFD399" s="678">
        <f t="shared" si="26"/>
        <v>0</v>
      </c>
    </row>
    <row r="400" spans="1:20 16383:16384" s="674" customFormat="1" hidden="1" outlineLevel="1" x14ac:dyDescent="0.2">
      <c r="A400" s="291"/>
      <c r="B400" s="291"/>
      <c r="C400" s="637">
        <v>0</v>
      </c>
      <c r="D400" s="661"/>
      <c r="E400" s="644">
        <v>0</v>
      </c>
      <c r="F400" s="662"/>
      <c r="G400" s="662"/>
      <c r="H400" s="662"/>
      <c r="I400" s="646"/>
      <c r="J400" s="646"/>
      <c r="K400" s="646"/>
      <c r="L400" s="646">
        <f t="shared" si="27"/>
        <v>0</v>
      </c>
      <c r="M400" s="663">
        <f t="shared" si="24"/>
        <v>0</v>
      </c>
      <c r="N400" s="672"/>
      <c r="O400" s="701">
        <f t="shared" si="25"/>
        <v>0</v>
      </c>
      <c r="P400" s="672"/>
      <c r="Q400" s="672"/>
      <c r="R400" s="672"/>
      <c r="S400" s="672"/>
      <c r="T400" s="672"/>
      <c r="XFC400" s="674">
        <f t="shared" si="23"/>
        <v>0</v>
      </c>
      <c r="XFD400" s="678">
        <f t="shared" si="26"/>
        <v>0</v>
      </c>
    </row>
    <row r="401" spans="1:20 16383:16384" s="674" customFormat="1" hidden="1" outlineLevel="1" x14ac:dyDescent="0.2">
      <c r="A401" s="291"/>
      <c r="B401" s="291"/>
      <c r="C401" s="637">
        <v>0</v>
      </c>
      <c r="D401" s="661"/>
      <c r="E401" s="644">
        <v>0</v>
      </c>
      <c r="F401" s="662"/>
      <c r="G401" s="662"/>
      <c r="H401" s="662"/>
      <c r="I401" s="646"/>
      <c r="J401" s="646"/>
      <c r="K401" s="646"/>
      <c r="L401" s="646">
        <f t="shared" si="27"/>
        <v>0</v>
      </c>
      <c r="M401" s="663">
        <f t="shared" si="24"/>
        <v>0</v>
      </c>
      <c r="N401" s="672"/>
      <c r="O401" s="701">
        <f t="shared" si="25"/>
        <v>0</v>
      </c>
      <c r="P401" s="672"/>
      <c r="Q401" s="672"/>
      <c r="R401" s="672"/>
      <c r="S401" s="672"/>
      <c r="T401" s="672"/>
      <c r="XFC401" s="674">
        <f t="shared" si="23"/>
        <v>0</v>
      </c>
      <c r="XFD401" s="678">
        <f t="shared" si="26"/>
        <v>0</v>
      </c>
    </row>
    <row r="402" spans="1:20 16383:16384" s="674" customFormat="1" hidden="1" outlineLevel="1" x14ac:dyDescent="0.2">
      <c r="A402" s="291"/>
      <c r="B402" s="291"/>
      <c r="C402" s="637">
        <v>0</v>
      </c>
      <c r="D402" s="661"/>
      <c r="E402" s="644">
        <v>0</v>
      </c>
      <c r="F402" s="662"/>
      <c r="G402" s="662"/>
      <c r="H402" s="662"/>
      <c r="I402" s="646"/>
      <c r="J402" s="646"/>
      <c r="K402" s="646"/>
      <c r="L402" s="646">
        <f t="shared" si="27"/>
        <v>0</v>
      </c>
      <c r="M402" s="663">
        <f t="shared" si="24"/>
        <v>0</v>
      </c>
      <c r="N402" s="672"/>
      <c r="O402" s="701">
        <f t="shared" si="25"/>
        <v>0</v>
      </c>
      <c r="P402" s="672"/>
      <c r="Q402" s="672"/>
      <c r="R402" s="672"/>
      <c r="S402" s="672"/>
      <c r="T402" s="672"/>
      <c r="XFC402" s="674">
        <f t="shared" si="23"/>
        <v>0</v>
      </c>
      <c r="XFD402" s="678">
        <f t="shared" si="26"/>
        <v>0</v>
      </c>
    </row>
    <row r="403" spans="1:20 16383:16384" s="674" customFormat="1" hidden="1" outlineLevel="1" x14ac:dyDescent="0.2">
      <c r="A403" s="291"/>
      <c r="B403" s="291"/>
      <c r="C403" s="637">
        <v>0</v>
      </c>
      <c r="D403" s="661"/>
      <c r="E403" s="644">
        <v>0</v>
      </c>
      <c r="F403" s="662"/>
      <c r="G403" s="662"/>
      <c r="H403" s="662"/>
      <c r="I403" s="646"/>
      <c r="J403" s="646"/>
      <c r="K403" s="646"/>
      <c r="L403" s="646">
        <f t="shared" si="27"/>
        <v>0</v>
      </c>
      <c r="M403" s="663">
        <f t="shared" si="24"/>
        <v>0</v>
      </c>
      <c r="N403" s="672"/>
      <c r="O403" s="701">
        <f t="shared" si="25"/>
        <v>0</v>
      </c>
      <c r="P403" s="672"/>
      <c r="Q403" s="672"/>
      <c r="R403" s="672"/>
      <c r="S403" s="672"/>
      <c r="T403" s="672"/>
      <c r="XFC403" s="674">
        <f t="shared" ref="XFC403:XFC466" si="28">IF(AND(K403&gt;0,L403=""),1,0)</f>
        <v>0</v>
      </c>
      <c r="XFD403" s="678">
        <f t="shared" si="26"/>
        <v>0</v>
      </c>
    </row>
    <row r="404" spans="1:20 16383:16384" s="674" customFormat="1" hidden="1" outlineLevel="1" x14ac:dyDescent="0.2">
      <c r="A404" s="291"/>
      <c r="B404" s="291"/>
      <c r="C404" s="637">
        <v>0</v>
      </c>
      <c r="D404" s="661"/>
      <c r="E404" s="644">
        <v>0</v>
      </c>
      <c r="F404" s="662"/>
      <c r="G404" s="662"/>
      <c r="H404" s="662"/>
      <c r="I404" s="646"/>
      <c r="J404" s="646"/>
      <c r="K404" s="646"/>
      <c r="L404" s="646">
        <f t="shared" si="27"/>
        <v>0</v>
      </c>
      <c r="M404" s="663">
        <f t="shared" ref="M404:M467" si="29">+J404-K404</f>
        <v>0</v>
      </c>
      <c r="N404" s="672"/>
      <c r="O404" s="701">
        <f t="shared" ref="O404:O467" si="30">IFERROR((+K404/I404),0)</f>
        <v>0</v>
      </c>
      <c r="P404" s="672"/>
      <c r="Q404" s="672"/>
      <c r="R404" s="672"/>
      <c r="S404" s="672"/>
      <c r="T404" s="672"/>
      <c r="XFC404" s="674">
        <f t="shared" si="28"/>
        <v>0</v>
      </c>
      <c r="XFD404" s="678">
        <f t="shared" ref="XFD404:XFD467" si="31">+K404</f>
        <v>0</v>
      </c>
    </row>
    <row r="405" spans="1:20 16383:16384" s="674" customFormat="1" hidden="1" outlineLevel="1" x14ac:dyDescent="0.2">
      <c r="A405" s="291"/>
      <c r="B405" s="291"/>
      <c r="C405" s="637">
        <v>0</v>
      </c>
      <c r="D405" s="661"/>
      <c r="E405" s="644">
        <v>0</v>
      </c>
      <c r="F405" s="662"/>
      <c r="G405" s="662"/>
      <c r="H405" s="662"/>
      <c r="I405" s="646"/>
      <c r="J405" s="646"/>
      <c r="K405" s="646"/>
      <c r="L405" s="646">
        <f t="shared" si="27"/>
        <v>0</v>
      </c>
      <c r="M405" s="663">
        <f t="shared" si="29"/>
        <v>0</v>
      </c>
      <c r="N405" s="672"/>
      <c r="O405" s="701">
        <f t="shared" si="30"/>
        <v>0</v>
      </c>
      <c r="P405" s="672"/>
      <c r="Q405" s="672"/>
      <c r="R405" s="672"/>
      <c r="S405" s="672"/>
      <c r="T405" s="672"/>
      <c r="XFC405" s="674">
        <f t="shared" si="28"/>
        <v>0</v>
      </c>
      <c r="XFD405" s="678">
        <f t="shared" si="31"/>
        <v>0</v>
      </c>
    </row>
    <row r="406" spans="1:20 16383:16384" s="674" customFormat="1" hidden="1" outlineLevel="1" x14ac:dyDescent="0.2">
      <c r="A406" s="291"/>
      <c r="B406" s="291"/>
      <c r="C406" s="637">
        <v>0</v>
      </c>
      <c r="D406" s="661"/>
      <c r="E406" s="644">
        <v>0</v>
      </c>
      <c r="F406" s="662"/>
      <c r="G406" s="662"/>
      <c r="H406" s="662"/>
      <c r="I406" s="646"/>
      <c r="J406" s="646"/>
      <c r="K406" s="646"/>
      <c r="L406" s="646">
        <f t="shared" si="27"/>
        <v>0</v>
      </c>
      <c r="M406" s="663">
        <f t="shared" si="29"/>
        <v>0</v>
      </c>
      <c r="N406" s="672"/>
      <c r="O406" s="701">
        <f t="shared" si="30"/>
        <v>0</v>
      </c>
      <c r="P406" s="672"/>
      <c r="Q406" s="672"/>
      <c r="R406" s="672"/>
      <c r="S406" s="672"/>
      <c r="T406" s="672"/>
      <c r="XFC406" s="674">
        <f t="shared" si="28"/>
        <v>0</v>
      </c>
      <c r="XFD406" s="678">
        <f t="shared" si="31"/>
        <v>0</v>
      </c>
    </row>
    <row r="407" spans="1:20 16383:16384" s="674" customFormat="1" hidden="1" outlineLevel="1" x14ac:dyDescent="0.2">
      <c r="A407" s="291"/>
      <c r="B407" s="291"/>
      <c r="C407" s="637">
        <v>0</v>
      </c>
      <c r="D407" s="661"/>
      <c r="E407" s="644">
        <v>0</v>
      </c>
      <c r="F407" s="662"/>
      <c r="G407" s="662"/>
      <c r="H407" s="662"/>
      <c r="I407" s="646"/>
      <c r="J407" s="646"/>
      <c r="K407" s="646"/>
      <c r="L407" s="646">
        <f t="shared" si="27"/>
        <v>0</v>
      </c>
      <c r="M407" s="663">
        <f t="shared" si="29"/>
        <v>0</v>
      </c>
      <c r="N407" s="672"/>
      <c r="O407" s="701">
        <f t="shared" si="30"/>
        <v>0</v>
      </c>
      <c r="P407" s="672"/>
      <c r="Q407" s="672"/>
      <c r="R407" s="672"/>
      <c r="S407" s="672"/>
      <c r="T407" s="672"/>
      <c r="XFC407" s="674">
        <f t="shared" si="28"/>
        <v>0</v>
      </c>
      <c r="XFD407" s="678">
        <f t="shared" si="31"/>
        <v>0</v>
      </c>
    </row>
    <row r="408" spans="1:20 16383:16384" s="674" customFormat="1" hidden="1" outlineLevel="1" x14ac:dyDescent="0.2">
      <c r="A408" s="291"/>
      <c r="B408" s="291"/>
      <c r="C408" s="637">
        <v>0</v>
      </c>
      <c r="D408" s="661"/>
      <c r="E408" s="644">
        <v>0</v>
      </c>
      <c r="F408" s="662"/>
      <c r="G408" s="662"/>
      <c r="H408" s="662"/>
      <c r="I408" s="646"/>
      <c r="J408" s="646"/>
      <c r="K408" s="646"/>
      <c r="L408" s="646">
        <f t="shared" si="27"/>
        <v>0</v>
      </c>
      <c r="M408" s="663">
        <f t="shared" si="29"/>
        <v>0</v>
      </c>
      <c r="N408" s="672"/>
      <c r="O408" s="701">
        <f t="shared" si="30"/>
        <v>0</v>
      </c>
      <c r="P408" s="672"/>
      <c r="Q408" s="672"/>
      <c r="R408" s="672"/>
      <c r="S408" s="672"/>
      <c r="T408" s="672"/>
      <c r="XFC408" s="674">
        <f t="shared" si="28"/>
        <v>0</v>
      </c>
      <c r="XFD408" s="678">
        <f t="shared" si="31"/>
        <v>0</v>
      </c>
    </row>
    <row r="409" spans="1:20 16383:16384" s="674" customFormat="1" hidden="1" outlineLevel="1" x14ac:dyDescent="0.2">
      <c r="A409" s="291"/>
      <c r="B409" s="291"/>
      <c r="C409" s="637">
        <v>0</v>
      </c>
      <c r="D409" s="661"/>
      <c r="E409" s="644">
        <v>0</v>
      </c>
      <c r="F409" s="662"/>
      <c r="G409" s="662"/>
      <c r="H409" s="662"/>
      <c r="I409" s="646"/>
      <c r="J409" s="646"/>
      <c r="K409" s="646"/>
      <c r="L409" s="646">
        <f t="shared" si="27"/>
        <v>0</v>
      </c>
      <c r="M409" s="663">
        <f t="shared" si="29"/>
        <v>0</v>
      </c>
      <c r="N409" s="672"/>
      <c r="O409" s="701">
        <f t="shared" si="30"/>
        <v>0</v>
      </c>
      <c r="P409" s="672"/>
      <c r="Q409" s="672"/>
      <c r="R409" s="672"/>
      <c r="S409" s="672"/>
      <c r="T409" s="672"/>
      <c r="XFC409" s="674">
        <f t="shared" si="28"/>
        <v>0</v>
      </c>
      <c r="XFD409" s="678">
        <f t="shared" si="31"/>
        <v>0</v>
      </c>
    </row>
    <row r="410" spans="1:20 16383:16384" s="674" customFormat="1" hidden="1" outlineLevel="1" x14ac:dyDescent="0.2">
      <c r="A410" s="291"/>
      <c r="B410" s="291"/>
      <c r="C410" s="637">
        <v>0</v>
      </c>
      <c r="D410" s="661"/>
      <c r="E410" s="644">
        <v>0</v>
      </c>
      <c r="F410" s="662"/>
      <c r="G410" s="662"/>
      <c r="H410" s="662"/>
      <c r="I410" s="646"/>
      <c r="J410" s="646"/>
      <c r="K410" s="646"/>
      <c r="L410" s="646">
        <f t="shared" si="27"/>
        <v>0</v>
      </c>
      <c r="M410" s="663">
        <f t="shared" si="29"/>
        <v>0</v>
      </c>
      <c r="N410" s="672"/>
      <c r="O410" s="701">
        <f t="shared" si="30"/>
        <v>0</v>
      </c>
      <c r="P410" s="672"/>
      <c r="Q410" s="672"/>
      <c r="R410" s="672"/>
      <c r="S410" s="672"/>
      <c r="T410" s="672"/>
      <c r="XFC410" s="674">
        <f t="shared" si="28"/>
        <v>0</v>
      </c>
      <c r="XFD410" s="678">
        <f t="shared" si="31"/>
        <v>0</v>
      </c>
    </row>
    <row r="411" spans="1:20 16383:16384" s="674" customFormat="1" hidden="1" outlineLevel="1" x14ac:dyDescent="0.2">
      <c r="A411" s="291"/>
      <c r="B411" s="291"/>
      <c r="C411" s="637">
        <v>0</v>
      </c>
      <c r="D411" s="661"/>
      <c r="E411" s="644">
        <v>0</v>
      </c>
      <c r="F411" s="662"/>
      <c r="G411" s="662"/>
      <c r="H411" s="662"/>
      <c r="I411" s="646"/>
      <c r="J411" s="646"/>
      <c r="K411" s="646"/>
      <c r="L411" s="646">
        <f t="shared" si="27"/>
        <v>0</v>
      </c>
      <c r="M411" s="663">
        <f t="shared" si="29"/>
        <v>0</v>
      </c>
      <c r="N411" s="672"/>
      <c r="O411" s="701">
        <f t="shared" si="30"/>
        <v>0</v>
      </c>
      <c r="P411" s="672"/>
      <c r="Q411" s="672"/>
      <c r="R411" s="672"/>
      <c r="S411" s="672"/>
      <c r="T411" s="672"/>
      <c r="XFC411" s="674">
        <f t="shared" si="28"/>
        <v>0</v>
      </c>
      <c r="XFD411" s="678">
        <f t="shared" si="31"/>
        <v>0</v>
      </c>
    </row>
    <row r="412" spans="1:20 16383:16384" s="674" customFormat="1" hidden="1" outlineLevel="1" x14ac:dyDescent="0.2">
      <c r="A412" s="291"/>
      <c r="B412" s="291"/>
      <c r="C412" s="637">
        <v>0</v>
      </c>
      <c r="D412" s="661"/>
      <c r="E412" s="644">
        <v>0</v>
      </c>
      <c r="F412" s="662"/>
      <c r="G412" s="662"/>
      <c r="H412" s="662"/>
      <c r="I412" s="646"/>
      <c r="J412" s="646"/>
      <c r="K412" s="646"/>
      <c r="L412" s="646">
        <f t="shared" si="27"/>
        <v>0</v>
      </c>
      <c r="M412" s="663">
        <f t="shared" si="29"/>
        <v>0</v>
      </c>
      <c r="N412" s="672"/>
      <c r="O412" s="701">
        <f t="shared" si="30"/>
        <v>0</v>
      </c>
      <c r="P412" s="672"/>
      <c r="Q412" s="672"/>
      <c r="R412" s="672"/>
      <c r="S412" s="672"/>
      <c r="T412" s="672"/>
      <c r="XFC412" s="674">
        <f t="shared" si="28"/>
        <v>0</v>
      </c>
      <c r="XFD412" s="678">
        <f t="shared" si="31"/>
        <v>0</v>
      </c>
    </row>
    <row r="413" spans="1:20 16383:16384" s="674" customFormat="1" hidden="1" outlineLevel="1" x14ac:dyDescent="0.2">
      <c r="A413" s="291"/>
      <c r="B413" s="291"/>
      <c r="C413" s="637">
        <v>0</v>
      </c>
      <c r="D413" s="661"/>
      <c r="E413" s="644">
        <v>0</v>
      </c>
      <c r="F413" s="662"/>
      <c r="G413" s="662"/>
      <c r="H413" s="662"/>
      <c r="I413" s="646"/>
      <c r="J413" s="646"/>
      <c r="K413" s="646"/>
      <c r="L413" s="646">
        <f t="shared" si="27"/>
        <v>0</v>
      </c>
      <c r="M413" s="663">
        <f t="shared" si="29"/>
        <v>0</v>
      </c>
      <c r="N413" s="672"/>
      <c r="O413" s="701">
        <f t="shared" si="30"/>
        <v>0</v>
      </c>
      <c r="P413" s="672"/>
      <c r="Q413" s="672"/>
      <c r="R413" s="672"/>
      <c r="S413" s="672"/>
      <c r="T413" s="672"/>
      <c r="XFC413" s="674">
        <f t="shared" si="28"/>
        <v>0</v>
      </c>
      <c r="XFD413" s="678">
        <f t="shared" si="31"/>
        <v>0</v>
      </c>
    </row>
    <row r="414" spans="1:20 16383:16384" s="674" customFormat="1" hidden="1" outlineLevel="1" x14ac:dyDescent="0.2">
      <c r="A414" s="291"/>
      <c r="B414" s="291"/>
      <c r="C414" s="637">
        <v>0</v>
      </c>
      <c r="D414" s="661"/>
      <c r="E414" s="644">
        <v>0</v>
      </c>
      <c r="F414" s="662"/>
      <c r="G414" s="662"/>
      <c r="H414" s="662"/>
      <c r="I414" s="646"/>
      <c r="J414" s="646"/>
      <c r="K414" s="646"/>
      <c r="L414" s="646">
        <f t="shared" si="27"/>
        <v>0</v>
      </c>
      <c r="M414" s="663">
        <f t="shared" si="29"/>
        <v>0</v>
      </c>
      <c r="N414" s="672"/>
      <c r="O414" s="701">
        <f t="shared" si="30"/>
        <v>0</v>
      </c>
      <c r="P414" s="672"/>
      <c r="Q414" s="672"/>
      <c r="R414" s="672"/>
      <c r="S414" s="672"/>
      <c r="T414" s="672"/>
      <c r="XFC414" s="674">
        <f t="shared" si="28"/>
        <v>0</v>
      </c>
      <c r="XFD414" s="678">
        <f t="shared" si="31"/>
        <v>0</v>
      </c>
    </row>
    <row r="415" spans="1:20 16383:16384" s="674" customFormat="1" hidden="1" outlineLevel="1" x14ac:dyDescent="0.2">
      <c r="A415" s="291"/>
      <c r="B415" s="291"/>
      <c r="C415" s="637">
        <v>0</v>
      </c>
      <c r="D415" s="661"/>
      <c r="E415" s="644">
        <v>0</v>
      </c>
      <c r="F415" s="662"/>
      <c r="G415" s="662"/>
      <c r="H415" s="662"/>
      <c r="I415" s="646"/>
      <c r="J415" s="646"/>
      <c r="K415" s="646"/>
      <c r="L415" s="646">
        <f t="shared" si="27"/>
        <v>0</v>
      </c>
      <c r="M415" s="663">
        <f t="shared" si="29"/>
        <v>0</v>
      </c>
      <c r="N415" s="672"/>
      <c r="O415" s="701">
        <f t="shared" si="30"/>
        <v>0</v>
      </c>
      <c r="P415" s="672"/>
      <c r="Q415" s="672"/>
      <c r="R415" s="672"/>
      <c r="S415" s="672"/>
      <c r="T415" s="672"/>
      <c r="XFC415" s="674">
        <f t="shared" si="28"/>
        <v>0</v>
      </c>
      <c r="XFD415" s="678">
        <f t="shared" si="31"/>
        <v>0</v>
      </c>
    </row>
    <row r="416" spans="1:20 16383:16384" s="674" customFormat="1" hidden="1" outlineLevel="1" x14ac:dyDescent="0.2">
      <c r="A416" s="291"/>
      <c r="B416" s="291"/>
      <c r="C416" s="637">
        <v>0</v>
      </c>
      <c r="D416" s="661"/>
      <c r="E416" s="644">
        <v>0</v>
      </c>
      <c r="F416" s="662"/>
      <c r="G416" s="662"/>
      <c r="H416" s="662"/>
      <c r="I416" s="646"/>
      <c r="J416" s="646"/>
      <c r="K416" s="646"/>
      <c r="L416" s="646">
        <f t="shared" si="27"/>
        <v>0</v>
      </c>
      <c r="M416" s="663">
        <f t="shared" si="29"/>
        <v>0</v>
      </c>
      <c r="N416" s="672"/>
      <c r="O416" s="701">
        <f t="shared" si="30"/>
        <v>0</v>
      </c>
      <c r="P416" s="672"/>
      <c r="Q416" s="672"/>
      <c r="R416" s="672"/>
      <c r="S416" s="672"/>
      <c r="T416" s="672"/>
      <c r="XFC416" s="674">
        <f t="shared" si="28"/>
        <v>0</v>
      </c>
      <c r="XFD416" s="678">
        <f t="shared" si="31"/>
        <v>0</v>
      </c>
    </row>
    <row r="417" spans="1:20 16383:16384" s="674" customFormat="1" hidden="1" outlineLevel="1" x14ac:dyDescent="0.2">
      <c r="A417" s="291"/>
      <c r="B417" s="291"/>
      <c r="C417" s="637">
        <v>0</v>
      </c>
      <c r="D417" s="661"/>
      <c r="E417" s="644">
        <v>0</v>
      </c>
      <c r="F417" s="662"/>
      <c r="G417" s="662"/>
      <c r="H417" s="662"/>
      <c r="I417" s="646"/>
      <c r="J417" s="646"/>
      <c r="K417" s="646"/>
      <c r="L417" s="646">
        <f t="shared" si="27"/>
        <v>0</v>
      </c>
      <c r="M417" s="663">
        <f t="shared" si="29"/>
        <v>0</v>
      </c>
      <c r="N417" s="672"/>
      <c r="O417" s="701">
        <f t="shared" si="30"/>
        <v>0</v>
      </c>
      <c r="P417" s="672"/>
      <c r="Q417" s="672"/>
      <c r="R417" s="672"/>
      <c r="S417" s="672"/>
      <c r="T417" s="672"/>
      <c r="XFC417" s="674">
        <f t="shared" si="28"/>
        <v>0</v>
      </c>
      <c r="XFD417" s="678">
        <f t="shared" si="31"/>
        <v>0</v>
      </c>
    </row>
    <row r="418" spans="1:20 16383:16384" s="674" customFormat="1" hidden="1" outlineLevel="1" x14ac:dyDescent="0.2">
      <c r="A418" s="291"/>
      <c r="B418" s="291"/>
      <c r="C418" s="637">
        <v>0</v>
      </c>
      <c r="D418" s="661"/>
      <c r="E418" s="644">
        <v>0</v>
      </c>
      <c r="F418" s="662"/>
      <c r="G418" s="662"/>
      <c r="H418" s="662"/>
      <c r="I418" s="646"/>
      <c r="J418" s="646"/>
      <c r="K418" s="646"/>
      <c r="L418" s="646">
        <f t="shared" si="27"/>
        <v>0</v>
      </c>
      <c r="M418" s="663">
        <f t="shared" si="29"/>
        <v>0</v>
      </c>
      <c r="N418" s="672"/>
      <c r="O418" s="701">
        <f t="shared" si="30"/>
        <v>0</v>
      </c>
      <c r="P418" s="672"/>
      <c r="Q418" s="672"/>
      <c r="R418" s="672"/>
      <c r="S418" s="672"/>
      <c r="T418" s="672"/>
      <c r="XFC418" s="674">
        <f t="shared" si="28"/>
        <v>0</v>
      </c>
      <c r="XFD418" s="678">
        <f t="shared" si="31"/>
        <v>0</v>
      </c>
    </row>
    <row r="419" spans="1:20 16383:16384" s="674" customFormat="1" hidden="1" outlineLevel="1" x14ac:dyDescent="0.2">
      <c r="A419" s="291"/>
      <c r="B419" s="291"/>
      <c r="C419" s="637">
        <v>0</v>
      </c>
      <c r="D419" s="661"/>
      <c r="E419" s="644">
        <v>0</v>
      </c>
      <c r="F419" s="662"/>
      <c r="G419" s="662"/>
      <c r="H419" s="662"/>
      <c r="I419" s="646"/>
      <c r="J419" s="646"/>
      <c r="K419" s="646"/>
      <c r="L419" s="646">
        <f t="shared" si="27"/>
        <v>0</v>
      </c>
      <c r="M419" s="663">
        <f t="shared" si="29"/>
        <v>0</v>
      </c>
      <c r="N419" s="672"/>
      <c r="O419" s="701">
        <f t="shared" si="30"/>
        <v>0</v>
      </c>
      <c r="P419" s="672"/>
      <c r="Q419" s="672"/>
      <c r="R419" s="672"/>
      <c r="S419" s="672"/>
      <c r="T419" s="672"/>
      <c r="XFC419" s="674">
        <f t="shared" si="28"/>
        <v>0</v>
      </c>
      <c r="XFD419" s="678">
        <f t="shared" si="31"/>
        <v>0</v>
      </c>
    </row>
    <row r="420" spans="1:20 16383:16384" s="674" customFormat="1" hidden="1" outlineLevel="1" x14ac:dyDescent="0.2">
      <c r="A420" s="291"/>
      <c r="B420" s="291"/>
      <c r="C420" s="637">
        <v>0</v>
      </c>
      <c r="D420" s="661"/>
      <c r="E420" s="644">
        <v>0</v>
      </c>
      <c r="F420" s="662"/>
      <c r="G420" s="662"/>
      <c r="H420" s="662"/>
      <c r="I420" s="646"/>
      <c r="J420" s="646"/>
      <c r="K420" s="646"/>
      <c r="L420" s="646">
        <f t="shared" si="27"/>
        <v>0</v>
      </c>
      <c r="M420" s="663">
        <f t="shared" si="29"/>
        <v>0</v>
      </c>
      <c r="N420" s="672"/>
      <c r="O420" s="701">
        <f t="shared" si="30"/>
        <v>0</v>
      </c>
      <c r="P420" s="672"/>
      <c r="Q420" s="672"/>
      <c r="R420" s="672"/>
      <c r="S420" s="672"/>
      <c r="T420" s="672"/>
      <c r="XFC420" s="674">
        <f t="shared" si="28"/>
        <v>0</v>
      </c>
      <c r="XFD420" s="678">
        <f t="shared" si="31"/>
        <v>0</v>
      </c>
    </row>
    <row r="421" spans="1:20 16383:16384" s="674" customFormat="1" hidden="1" outlineLevel="1" x14ac:dyDescent="0.2">
      <c r="A421" s="291"/>
      <c r="B421" s="291"/>
      <c r="C421" s="637">
        <v>0</v>
      </c>
      <c r="D421" s="661"/>
      <c r="E421" s="644">
        <v>0</v>
      </c>
      <c r="F421" s="662"/>
      <c r="G421" s="662"/>
      <c r="H421" s="662"/>
      <c r="I421" s="646"/>
      <c r="J421" s="646"/>
      <c r="K421" s="646"/>
      <c r="L421" s="646">
        <f t="shared" si="27"/>
        <v>0</v>
      </c>
      <c r="M421" s="663">
        <f t="shared" si="29"/>
        <v>0</v>
      </c>
      <c r="N421" s="672"/>
      <c r="O421" s="701">
        <f t="shared" si="30"/>
        <v>0</v>
      </c>
      <c r="P421" s="672"/>
      <c r="Q421" s="672"/>
      <c r="R421" s="672"/>
      <c r="S421" s="672"/>
      <c r="T421" s="672"/>
      <c r="XFC421" s="674">
        <f t="shared" si="28"/>
        <v>0</v>
      </c>
      <c r="XFD421" s="678">
        <f t="shared" si="31"/>
        <v>0</v>
      </c>
    </row>
    <row r="422" spans="1:20 16383:16384" s="674" customFormat="1" hidden="1" outlineLevel="1" x14ac:dyDescent="0.2">
      <c r="A422" s="291"/>
      <c r="B422" s="291"/>
      <c r="C422" s="637">
        <v>0</v>
      </c>
      <c r="D422" s="661"/>
      <c r="E422" s="644">
        <v>0</v>
      </c>
      <c r="F422" s="662"/>
      <c r="G422" s="662"/>
      <c r="H422" s="662"/>
      <c r="I422" s="646"/>
      <c r="J422" s="646"/>
      <c r="K422" s="646"/>
      <c r="L422" s="646">
        <f t="shared" si="27"/>
        <v>0</v>
      </c>
      <c r="M422" s="663">
        <f t="shared" si="29"/>
        <v>0</v>
      </c>
      <c r="N422" s="672"/>
      <c r="O422" s="701">
        <f t="shared" si="30"/>
        <v>0</v>
      </c>
      <c r="P422" s="672"/>
      <c r="Q422" s="672"/>
      <c r="R422" s="672"/>
      <c r="S422" s="672"/>
      <c r="T422" s="672"/>
      <c r="XFC422" s="674">
        <f t="shared" si="28"/>
        <v>0</v>
      </c>
      <c r="XFD422" s="678">
        <f t="shared" si="31"/>
        <v>0</v>
      </c>
    </row>
    <row r="423" spans="1:20 16383:16384" s="674" customFormat="1" hidden="1" outlineLevel="1" x14ac:dyDescent="0.2">
      <c r="A423" s="291"/>
      <c r="B423" s="291"/>
      <c r="C423" s="637">
        <v>0</v>
      </c>
      <c r="D423" s="661"/>
      <c r="E423" s="644">
        <v>0</v>
      </c>
      <c r="F423" s="662"/>
      <c r="G423" s="662"/>
      <c r="H423" s="662"/>
      <c r="I423" s="646"/>
      <c r="J423" s="646"/>
      <c r="K423" s="646"/>
      <c r="L423" s="646">
        <f t="shared" si="27"/>
        <v>0</v>
      </c>
      <c r="M423" s="663">
        <f t="shared" si="29"/>
        <v>0</v>
      </c>
      <c r="N423" s="672"/>
      <c r="O423" s="701">
        <f t="shared" si="30"/>
        <v>0</v>
      </c>
      <c r="P423" s="672"/>
      <c r="Q423" s="672"/>
      <c r="R423" s="672"/>
      <c r="S423" s="672"/>
      <c r="T423" s="672"/>
      <c r="XFC423" s="674">
        <f t="shared" si="28"/>
        <v>0</v>
      </c>
      <c r="XFD423" s="678">
        <f t="shared" si="31"/>
        <v>0</v>
      </c>
    </row>
    <row r="424" spans="1:20 16383:16384" s="674" customFormat="1" hidden="1" outlineLevel="1" x14ac:dyDescent="0.2">
      <c r="A424" s="291"/>
      <c r="B424" s="291"/>
      <c r="C424" s="637">
        <v>0</v>
      </c>
      <c r="D424" s="661"/>
      <c r="E424" s="644">
        <v>0</v>
      </c>
      <c r="F424" s="662"/>
      <c r="G424" s="662"/>
      <c r="H424" s="662"/>
      <c r="I424" s="646"/>
      <c r="J424" s="646"/>
      <c r="K424" s="646"/>
      <c r="L424" s="646">
        <f t="shared" si="27"/>
        <v>0</v>
      </c>
      <c r="M424" s="663">
        <f t="shared" si="29"/>
        <v>0</v>
      </c>
      <c r="N424" s="672"/>
      <c r="O424" s="701">
        <f t="shared" si="30"/>
        <v>0</v>
      </c>
      <c r="P424" s="672"/>
      <c r="Q424" s="672"/>
      <c r="R424" s="672"/>
      <c r="S424" s="672"/>
      <c r="T424" s="672"/>
      <c r="XFC424" s="674">
        <f t="shared" si="28"/>
        <v>0</v>
      </c>
      <c r="XFD424" s="678">
        <f t="shared" si="31"/>
        <v>0</v>
      </c>
    </row>
    <row r="425" spans="1:20 16383:16384" s="674" customFormat="1" hidden="1" outlineLevel="1" x14ac:dyDescent="0.2">
      <c r="A425" s="291"/>
      <c r="B425" s="291"/>
      <c r="C425" s="637">
        <v>0</v>
      </c>
      <c r="D425" s="661"/>
      <c r="E425" s="644">
        <v>0</v>
      </c>
      <c r="F425" s="662"/>
      <c r="G425" s="662"/>
      <c r="H425" s="662"/>
      <c r="I425" s="646"/>
      <c r="J425" s="646"/>
      <c r="K425" s="646"/>
      <c r="L425" s="646">
        <f t="shared" ref="L425:L488" si="32">IF(L424="","",L424)</f>
        <v>0</v>
      </c>
      <c r="M425" s="663">
        <f t="shared" si="29"/>
        <v>0</v>
      </c>
      <c r="N425" s="672"/>
      <c r="O425" s="701">
        <f t="shared" si="30"/>
        <v>0</v>
      </c>
      <c r="P425" s="672"/>
      <c r="Q425" s="672"/>
      <c r="R425" s="672"/>
      <c r="S425" s="672"/>
      <c r="T425" s="672"/>
      <c r="XFC425" s="674">
        <f t="shared" si="28"/>
        <v>0</v>
      </c>
      <c r="XFD425" s="678">
        <f t="shared" si="31"/>
        <v>0</v>
      </c>
    </row>
    <row r="426" spans="1:20 16383:16384" s="674" customFormat="1" hidden="1" outlineLevel="1" x14ac:dyDescent="0.2">
      <c r="A426" s="291"/>
      <c r="B426" s="291"/>
      <c r="C426" s="637">
        <v>0</v>
      </c>
      <c r="D426" s="661"/>
      <c r="E426" s="644">
        <v>0</v>
      </c>
      <c r="F426" s="662"/>
      <c r="G426" s="662"/>
      <c r="H426" s="662"/>
      <c r="I426" s="646"/>
      <c r="J426" s="646"/>
      <c r="K426" s="646"/>
      <c r="L426" s="646">
        <f t="shared" si="32"/>
        <v>0</v>
      </c>
      <c r="M426" s="663">
        <f t="shared" si="29"/>
        <v>0</v>
      </c>
      <c r="N426" s="672"/>
      <c r="O426" s="701">
        <f t="shared" si="30"/>
        <v>0</v>
      </c>
      <c r="P426" s="672"/>
      <c r="Q426" s="672"/>
      <c r="R426" s="672"/>
      <c r="S426" s="672"/>
      <c r="T426" s="672"/>
      <c r="XFC426" s="674">
        <f t="shared" si="28"/>
        <v>0</v>
      </c>
      <c r="XFD426" s="678">
        <f t="shared" si="31"/>
        <v>0</v>
      </c>
    </row>
    <row r="427" spans="1:20 16383:16384" s="674" customFormat="1" hidden="1" outlineLevel="1" x14ac:dyDescent="0.2">
      <c r="A427" s="291"/>
      <c r="B427" s="291"/>
      <c r="C427" s="637">
        <v>0</v>
      </c>
      <c r="D427" s="661"/>
      <c r="E427" s="644">
        <v>0</v>
      </c>
      <c r="F427" s="662"/>
      <c r="G427" s="662"/>
      <c r="H427" s="662"/>
      <c r="I427" s="646"/>
      <c r="J427" s="646"/>
      <c r="K427" s="646"/>
      <c r="L427" s="646">
        <f t="shared" si="32"/>
        <v>0</v>
      </c>
      <c r="M427" s="663">
        <f t="shared" si="29"/>
        <v>0</v>
      </c>
      <c r="N427" s="672"/>
      <c r="O427" s="701">
        <f t="shared" si="30"/>
        <v>0</v>
      </c>
      <c r="P427" s="672"/>
      <c r="Q427" s="672"/>
      <c r="R427" s="672"/>
      <c r="S427" s="672"/>
      <c r="T427" s="672"/>
      <c r="XFC427" s="674">
        <f t="shared" si="28"/>
        <v>0</v>
      </c>
      <c r="XFD427" s="678">
        <f t="shared" si="31"/>
        <v>0</v>
      </c>
    </row>
    <row r="428" spans="1:20 16383:16384" s="674" customFormat="1" hidden="1" outlineLevel="1" x14ac:dyDescent="0.2">
      <c r="A428" s="291"/>
      <c r="B428" s="291"/>
      <c r="C428" s="637">
        <v>0</v>
      </c>
      <c r="D428" s="661"/>
      <c r="E428" s="644">
        <v>0</v>
      </c>
      <c r="F428" s="662"/>
      <c r="G428" s="662"/>
      <c r="H428" s="662"/>
      <c r="I428" s="646"/>
      <c r="J428" s="646"/>
      <c r="K428" s="646"/>
      <c r="L428" s="646">
        <f t="shared" si="32"/>
        <v>0</v>
      </c>
      <c r="M428" s="663">
        <f t="shared" si="29"/>
        <v>0</v>
      </c>
      <c r="N428" s="672"/>
      <c r="O428" s="701">
        <f t="shared" si="30"/>
        <v>0</v>
      </c>
      <c r="P428" s="672"/>
      <c r="Q428" s="672"/>
      <c r="R428" s="672"/>
      <c r="S428" s="672"/>
      <c r="T428" s="672"/>
      <c r="XFC428" s="674">
        <f t="shared" si="28"/>
        <v>0</v>
      </c>
      <c r="XFD428" s="678">
        <f t="shared" si="31"/>
        <v>0</v>
      </c>
    </row>
    <row r="429" spans="1:20 16383:16384" s="674" customFormat="1" hidden="1" outlineLevel="1" x14ac:dyDescent="0.2">
      <c r="A429" s="291"/>
      <c r="B429" s="291"/>
      <c r="C429" s="637">
        <v>0</v>
      </c>
      <c r="D429" s="661"/>
      <c r="E429" s="644">
        <v>0</v>
      </c>
      <c r="F429" s="662"/>
      <c r="G429" s="662"/>
      <c r="H429" s="662"/>
      <c r="I429" s="646"/>
      <c r="J429" s="646"/>
      <c r="K429" s="646"/>
      <c r="L429" s="646">
        <f t="shared" si="32"/>
        <v>0</v>
      </c>
      <c r="M429" s="663">
        <f t="shared" si="29"/>
        <v>0</v>
      </c>
      <c r="N429" s="672"/>
      <c r="O429" s="701">
        <f t="shared" si="30"/>
        <v>0</v>
      </c>
      <c r="P429" s="672"/>
      <c r="Q429" s="672"/>
      <c r="R429" s="672"/>
      <c r="S429" s="672"/>
      <c r="T429" s="672"/>
      <c r="XFC429" s="674">
        <f t="shared" si="28"/>
        <v>0</v>
      </c>
      <c r="XFD429" s="678">
        <f t="shared" si="31"/>
        <v>0</v>
      </c>
    </row>
    <row r="430" spans="1:20 16383:16384" s="674" customFormat="1" hidden="1" outlineLevel="1" x14ac:dyDescent="0.2">
      <c r="A430" s="291"/>
      <c r="B430" s="291"/>
      <c r="C430" s="637">
        <v>0</v>
      </c>
      <c r="D430" s="661"/>
      <c r="E430" s="644">
        <v>0</v>
      </c>
      <c r="F430" s="662"/>
      <c r="G430" s="662"/>
      <c r="H430" s="662"/>
      <c r="I430" s="646"/>
      <c r="J430" s="646"/>
      <c r="K430" s="646"/>
      <c r="L430" s="646">
        <f t="shared" si="32"/>
        <v>0</v>
      </c>
      <c r="M430" s="663">
        <f t="shared" si="29"/>
        <v>0</v>
      </c>
      <c r="N430" s="672"/>
      <c r="O430" s="701">
        <f t="shared" si="30"/>
        <v>0</v>
      </c>
      <c r="P430" s="672"/>
      <c r="Q430" s="672"/>
      <c r="R430" s="672"/>
      <c r="S430" s="672"/>
      <c r="T430" s="672"/>
      <c r="XFC430" s="674">
        <f t="shared" si="28"/>
        <v>0</v>
      </c>
      <c r="XFD430" s="678">
        <f t="shared" si="31"/>
        <v>0</v>
      </c>
    </row>
    <row r="431" spans="1:20 16383:16384" s="674" customFormat="1" hidden="1" outlineLevel="1" x14ac:dyDescent="0.2">
      <c r="A431" s="291"/>
      <c r="B431" s="291"/>
      <c r="C431" s="637">
        <v>0</v>
      </c>
      <c r="D431" s="661"/>
      <c r="E431" s="644">
        <v>0</v>
      </c>
      <c r="F431" s="662"/>
      <c r="G431" s="662"/>
      <c r="H431" s="662"/>
      <c r="I431" s="646"/>
      <c r="J431" s="646"/>
      <c r="K431" s="646"/>
      <c r="L431" s="646">
        <f t="shared" si="32"/>
        <v>0</v>
      </c>
      <c r="M431" s="663">
        <f t="shared" si="29"/>
        <v>0</v>
      </c>
      <c r="N431" s="672"/>
      <c r="O431" s="701">
        <f t="shared" si="30"/>
        <v>0</v>
      </c>
      <c r="P431" s="672"/>
      <c r="Q431" s="672"/>
      <c r="R431" s="672"/>
      <c r="S431" s="672"/>
      <c r="T431" s="672"/>
      <c r="XFC431" s="674">
        <f t="shared" si="28"/>
        <v>0</v>
      </c>
      <c r="XFD431" s="678">
        <f t="shared" si="31"/>
        <v>0</v>
      </c>
    </row>
    <row r="432" spans="1:20 16383:16384" s="674" customFormat="1" hidden="1" outlineLevel="1" x14ac:dyDescent="0.2">
      <c r="A432" s="291"/>
      <c r="B432" s="291"/>
      <c r="C432" s="637">
        <v>0</v>
      </c>
      <c r="D432" s="661"/>
      <c r="E432" s="644">
        <v>0</v>
      </c>
      <c r="F432" s="662"/>
      <c r="G432" s="662"/>
      <c r="H432" s="662"/>
      <c r="I432" s="646"/>
      <c r="J432" s="646"/>
      <c r="K432" s="646"/>
      <c r="L432" s="646">
        <f t="shared" si="32"/>
        <v>0</v>
      </c>
      <c r="M432" s="663">
        <f t="shared" si="29"/>
        <v>0</v>
      </c>
      <c r="N432" s="672"/>
      <c r="O432" s="701">
        <f t="shared" si="30"/>
        <v>0</v>
      </c>
      <c r="P432" s="672"/>
      <c r="Q432" s="672"/>
      <c r="R432" s="672"/>
      <c r="S432" s="672"/>
      <c r="T432" s="672"/>
      <c r="XFC432" s="674">
        <f t="shared" si="28"/>
        <v>0</v>
      </c>
      <c r="XFD432" s="678">
        <f t="shared" si="31"/>
        <v>0</v>
      </c>
    </row>
    <row r="433" spans="1:20 16383:16384" s="674" customFormat="1" hidden="1" outlineLevel="1" x14ac:dyDescent="0.2">
      <c r="A433" s="291"/>
      <c r="B433" s="291"/>
      <c r="C433" s="637">
        <v>0</v>
      </c>
      <c r="D433" s="661"/>
      <c r="E433" s="644">
        <v>0</v>
      </c>
      <c r="F433" s="662"/>
      <c r="G433" s="662"/>
      <c r="H433" s="662"/>
      <c r="I433" s="646"/>
      <c r="J433" s="646"/>
      <c r="K433" s="646"/>
      <c r="L433" s="646">
        <f t="shared" si="32"/>
        <v>0</v>
      </c>
      <c r="M433" s="663">
        <f t="shared" si="29"/>
        <v>0</v>
      </c>
      <c r="N433" s="672"/>
      <c r="O433" s="701">
        <f t="shared" si="30"/>
        <v>0</v>
      </c>
      <c r="P433" s="672"/>
      <c r="Q433" s="672"/>
      <c r="R433" s="672"/>
      <c r="S433" s="672"/>
      <c r="T433" s="672"/>
      <c r="XFC433" s="674">
        <f t="shared" si="28"/>
        <v>0</v>
      </c>
      <c r="XFD433" s="678">
        <f t="shared" si="31"/>
        <v>0</v>
      </c>
    </row>
    <row r="434" spans="1:20 16383:16384" s="674" customFormat="1" hidden="1" outlineLevel="1" x14ac:dyDescent="0.2">
      <c r="A434" s="291"/>
      <c r="B434" s="291"/>
      <c r="C434" s="637">
        <v>0</v>
      </c>
      <c r="D434" s="661"/>
      <c r="E434" s="644">
        <v>0</v>
      </c>
      <c r="F434" s="662"/>
      <c r="G434" s="662"/>
      <c r="H434" s="662"/>
      <c r="I434" s="646"/>
      <c r="J434" s="646"/>
      <c r="K434" s="646"/>
      <c r="L434" s="646">
        <f t="shared" si="32"/>
        <v>0</v>
      </c>
      <c r="M434" s="663">
        <f t="shared" si="29"/>
        <v>0</v>
      </c>
      <c r="N434" s="672"/>
      <c r="O434" s="701">
        <f t="shared" si="30"/>
        <v>0</v>
      </c>
      <c r="P434" s="672"/>
      <c r="Q434" s="672"/>
      <c r="R434" s="672"/>
      <c r="S434" s="672"/>
      <c r="T434" s="672"/>
      <c r="XFC434" s="674">
        <f t="shared" si="28"/>
        <v>0</v>
      </c>
      <c r="XFD434" s="678">
        <f t="shared" si="31"/>
        <v>0</v>
      </c>
    </row>
    <row r="435" spans="1:20 16383:16384" s="674" customFormat="1" hidden="1" outlineLevel="1" x14ac:dyDescent="0.2">
      <c r="A435" s="291"/>
      <c r="B435" s="291"/>
      <c r="C435" s="637">
        <v>0</v>
      </c>
      <c r="D435" s="661"/>
      <c r="E435" s="644">
        <v>0</v>
      </c>
      <c r="F435" s="662"/>
      <c r="G435" s="662"/>
      <c r="H435" s="662"/>
      <c r="I435" s="646"/>
      <c r="J435" s="646"/>
      <c r="K435" s="646"/>
      <c r="L435" s="646">
        <f t="shared" si="32"/>
        <v>0</v>
      </c>
      <c r="M435" s="663">
        <f t="shared" si="29"/>
        <v>0</v>
      </c>
      <c r="N435" s="672"/>
      <c r="O435" s="701">
        <f t="shared" si="30"/>
        <v>0</v>
      </c>
      <c r="P435" s="672"/>
      <c r="Q435" s="672"/>
      <c r="R435" s="672"/>
      <c r="S435" s="672"/>
      <c r="T435" s="672"/>
      <c r="XFC435" s="674">
        <f t="shared" si="28"/>
        <v>0</v>
      </c>
      <c r="XFD435" s="678">
        <f t="shared" si="31"/>
        <v>0</v>
      </c>
    </row>
    <row r="436" spans="1:20 16383:16384" s="674" customFormat="1" hidden="1" outlineLevel="1" x14ac:dyDescent="0.2">
      <c r="A436" s="291"/>
      <c r="B436" s="291"/>
      <c r="C436" s="637">
        <v>0</v>
      </c>
      <c r="D436" s="661"/>
      <c r="E436" s="644">
        <v>0</v>
      </c>
      <c r="F436" s="662"/>
      <c r="G436" s="662"/>
      <c r="H436" s="662"/>
      <c r="I436" s="646"/>
      <c r="J436" s="646"/>
      <c r="K436" s="646"/>
      <c r="L436" s="646">
        <f t="shared" si="32"/>
        <v>0</v>
      </c>
      <c r="M436" s="663">
        <f t="shared" si="29"/>
        <v>0</v>
      </c>
      <c r="N436" s="672"/>
      <c r="O436" s="701">
        <f t="shared" si="30"/>
        <v>0</v>
      </c>
      <c r="P436" s="672"/>
      <c r="Q436" s="672"/>
      <c r="R436" s="672"/>
      <c r="S436" s="672"/>
      <c r="T436" s="672"/>
      <c r="XFC436" s="674">
        <f t="shared" si="28"/>
        <v>0</v>
      </c>
      <c r="XFD436" s="678">
        <f t="shared" si="31"/>
        <v>0</v>
      </c>
    </row>
    <row r="437" spans="1:20 16383:16384" s="674" customFormat="1" hidden="1" outlineLevel="1" x14ac:dyDescent="0.2">
      <c r="A437" s="291"/>
      <c r="B437" s="291"/>
      <c r="C437" s="637">
        <v>0</v>
      </c>
      <c r="D437" s="661"/>
      <c r="E437" s="644">
        <v>0</v>
      </c>
      <c r="F437" s="662"/>
      <c r="G437" s="662"/>
      <c r="H437" s="662"/>
      <c r="I437" s="646"/>
      <c r="J437" s="646"/>
      <c r="K437" s="646"/>
      <c r="L437" s="646">
        <f t="shared" si="32"/>
        <v>0</v>
      </c>
      <c r="M437" s="663">
        <f t="shared" si="29"/>
        <v>0</v>
      </c>
      <c r="N437" s="672"/>
      <c r="O437" s="701">
        <f t="shared" si="30"/>
        <v>0</v>
      </c>
      <c r="P437" s="672"/>
      <c r="Q437" s="672"/>
      <c r="R437" s="672"/>
      <c r="S437" s="672"/>
      <c r="T437" s="672"/>
      <c r="XFC437" s="674">
        <f t="shared" si="28"/>
        <v>0</v>
      </c>
      <c r="XFD437" s="678">
        <f t="shared" si="31"/>
        <v>0</v>
      </c>
    </row>
    <row r="438" spans="1:20 16383:16384" s="674" customFormat="1" hidden="1" outlineLevel="1" x14ac:dyDescent="0.2">
      <c r="A438" s="291"/>
      <c r="B438" s="291"/>
      <c r="C438" s="637">
        <v>0</v>
      </c>
      <c r="D438" s="661"/>
      <c r="E438" s="644">
        <v>0</v>
      </c>
      <c r="F438" s="662"/>
      <c r="G438" s="662"/>
      <c r="H438" s="662"/>
      <c r="I438" s="646"/>
      <c r="J438" s="646"/>
      <c r="K438" s="646"/>
      <c r="L438" s="646">
        <f t="shared" si="32"/>
        <v>0</v>
      </c>
      <c r="M438" s="663">
        <f t="shared" si="29"/>
        <v>0</v>
      </c>
      <c r="N438" s="672"/>
      <c r="O438" s="701">
        <f t="shared" si="30"/>
        <v>0</v>
      </c>
      <c r="P438" s="672"/>
      <c r="Q438" s="672"/>
      <c r="R438" s="672"/>
      <c r="S438" s="672"/>
      <c r="T438" s="672"/>
      <c r="XFC438" s="674">
        <f t="shared" si="28"/>
        <v>0</v>
      </c>
      <c r="XFD438" s="678">
        <f t="shared" si="31"/>
        <v>0</v>
      </c>
    </row>
    <row r="439" spans="1:20 16383:16384" s="674" customFormat="1" hidden="1" outlineLevel="1" x14ac:dyDescent="0.2">
      <c r="A439" s="291"/>
      <c r="B439" s="291"/>
      <c r="C439" s="637">
        <v>0</v>
      </c>
      <c r="D439" s="661"/>
      <c r="E439" s="644">
        <v>0</v>
      </c>
      <c r="F439" s="662"/>
      <c r="G439" s="662"/>
      <c r="H439" s="662"/>
      <c r="I439" s="646"/>
      <c r="J439" s="646"/>
      <c r="K439" s="646"/>
      <c r="L439" s="646">
        <f t="shared" si="32"/>
        <v>0</v>
      </c>
      <c r="M439" s="663">
        <f t="shared" si="29"/>
        <v>0</v>
      </c>
      <c r="N439" s="672"/>
      <c r="O439" s="701">
        <f t="shared" si="30"/>
        <v>0</v>
      </c>
      <c r="P439" s="672"/>
      <c r="Q439" s="672"/>
      <c r="R439" s="672"/>
      <c r="S439" s="672"/>
      <c r="T439" s="672"/>
      <c r="XFC439" s="674">
        <f t="shared" si="28"/>
        <v>0</v>
      </c>
      <c r="XFD439" s="678">
        <f t="shared" si="31"/>
        <v>0</v>
      </c>
    </row>
    <row r="440" spans="1:20 16383:16384" s="674" customFormat="1" hidden="1" outlineLevel="1" x14ac:dyDescent="0.2">
      <c r="A440" s="291"/>
      <c r="B440" s="291"/>
      <c r="C440" s="637">
        <v>0</v>
      </c>
      <c r="D440" s="661"/>
      <c r="E440" s="644">
        <v>0</v>
      </c>
      <c r="F440" s="662"/>
      <c r="G440" s="662"/>
      <c r="H440" s="662"/>
      <c r="I440" s="646"/>
      <c r="J440" s="646"/>
      <c r="K440" s="646"/>
      <c r="L440" s="646">
        <f t="shared" si="32"/>
        <v>0</v>
      </c>
      <c r="M440" s="663">
        <f t="shared" si="29"/>
        <v>0</v>
      </c>
      <c r="N440" s="672"/>
      <c r="O440" s="701">
        <f t="shared" si="30"/>
        <v>0</v>
      </c>
      <c r="P440" s="672"/>
      <c r="Q440" s="672"/>
      <c r="R440" s="672"/>
      <c r="S440" s="672"/>
      <c r="T440" s="672"/>
      <c r="XFC440" s="674">
        <f t="shared" si="28"/>
        <v>0</v>
      </c>
      <c r="XFD440" s="678">
        <f t="shared" si="31"/>
        <v>0</v>
      </c>
    </row>
    <row r="441" spans="1:20 16383:16384" s="674" customFormat="1" hidden="1" outlineLevel="1" x14ac:dyDescent="0.2">
      <c r="A441" s="291"/>
      <c r="B441" s="291"/>
      <c r="C441" s="637">
        <v>0</v>
      </c>
      <c r="D441" s="661"/>
      <c r="E441" s="644">
        <v>0</v>
      </c>
      <c r="F441" s="662"/>
      <c r="G441" s="662"/>
      <c r="H441" s="662"/>
      <c r="I441" s="646"/>
      <c r="J441" s="646"/>
      <c r="K441" s="646"/>
      <c r="L441" s="646">
        <f t="shared" si="32"/>
        <v>0</v>
      </c>
      <c r="M441" s="663">
        <f t="shared" si="29"/>
        <v>0</v>
      </c>
      <c r="N441" s="672"/>
      <c r="O441" s="701">
        <f t="shared" si="30"/>
        <v>0</v>
      </c>
      <c r="P441" s="672"/>
      <c r="Q441" s="672"/>
      <c r="R441" s="672"/>
      <c r="S441" s="672"/>
      <c r="T441" s="672"/>
      <c r="XFC441" s="674">
        <f t="shared" si="28"/>
        <v>0</v>
      </c>
      <c r="XFD441" s="678">
        <f t="shared" si="31"/>
        <v>0</v>
      </c>
    </row>
    <row r="442" spans="1:20 16383:16384" s="674" customFormat="1" hidden="1" outlineLevel="1" x14ac:dyDescent="0.2">
      <c r="A442" s="291"/>
      <c r="B442" s="291"/>
      <c r="C442" s="637">
        <v>0</v>
      </c>
      <c r="D442" s="661"/>
      <c r="E442" s="644">
        <v>0</v>
      </c>
      <c r="F442" s="662"/>
      <c r="G442" s="662"/>
      <c r="H442" s="662"/>
      <c r="I442" s="646"/>
      <c r="J442" s="646"/>
      <c r="K442" s="646"/>
      <c r="L442" s="646">
        <f t="shared" si="32"/>
        <v>0</v>
      </c>
      <c r="M442" s="663">
        <f t="shared" si="29"/>
        <v>0</v>
      </c>
      <c r="N442" s="672"/>
      <c r="O442" s="701">
        <f t="shared" si="30"/>
        <v>0</v>
      </c>
      <c r="P442" s="672"/>
      <c r="Q442" s="672"/>
      <c r="R442" s="672"/>
      <c r="S442" s="672"/>
      <c r="T442" s="672"/>
      <c r="XFC442" s="674">
        <f t="shared" si="28"/>
        <v>0</v>
      </c>
      <c r="XFD442" s="678">
        <f t="shared" si="31"/>
        <v>0</v>
      </c>
    </row>
    <row r="443" spans="1:20 16383:16384" s="674" customFormat="1" hidden="1" outlineLevel="1" x14ac:dyDescent="0.2">
      <c r="A443" s="291"/>
      <c r="B443" s="291"/>
      <c r="C443" s="637">
        <v>0</v>
      </c>
      <c r="D443" s="661"/>
      <c r="E443" s="644">
        <v>0</v>
      </c>
      <c r="F443" s="662"/>
      <c r="G443" s="662"/>
      <c r="H443" s="662"/>
      <c r="I443" s="646"/>
      <c r="J443" s="646"/>
      <c r="K443" s="646"/>
      <c r="L443" s="646">
        <f t="shared" si="32"/>
        <v>0</v>
      </c>
      <c r="M443" s="663">
        <f t="shared" si="29"/>
        <v>0</v>
      </c>
      <c r="N443" s="672"/>
      <c r="O443" s="701">
        <f t="shared" si="30"/>
        <v>0</v>
      </c>
      <c r="P443" s="672"/>
      <c r="Q443" s="672"/>
      <c r="R443" s="672"/>
      <c r="S443" s="672"/>
      <c r="T443" s="672"/>
      <c r="XFC443" s="674">
        <f t="shared" si="28"/>
        <v>0</v>
      </c>
      <c r="XFD443" s="678">
        <f t="shared" si="31"/>
        <v>0</v>
      </c>
    </row>
    <row r="444" spans="1:20 16383:16384" s="674" customFormat="1" hidden="1" outlineLevel="1" x14ac:dyDescent="0.2">
      <c r="A444" s="291"/>
      <c r="B444" s="291"/>
      <c r="C444" s="637">
        <v>0</v>
      </c>
      <c r="D444" s="661"/>
      <c r="E444" s="644">
        <v>0</v>
      </c>
      <c r="F444" s="662"/>
      <c r="G444" s="662"/>
      <c r="H444" s="662"/>
      <c r="I444" s="646"/>
      <c r="J444" s="646"/>
      <c r="K444" s="646"/>
      <c r="L444" s="646">
        <f t="shared" si="32"/>
        <v>0</v>
      </c>
      <c r="M444" s="663">
        <f t="shared" si="29"/>
        <v>0</v>
      </c>
      <c r="N444" s="672"/>
      <c r="O444" s="701">
        <f t="shared" si="30"/>
        <v>0</v>
      </c>
      <c r="P444" s="672"/>
      <c r="Q444" s="672"/>
      <c r="R444" s="672"/>
      <c r="S444" s="672"/>
      <c r="T444" s="672"/>
      <c r="XFC444" s="674">
        <f t="shared" si="28"/>
        <v>0</v>
      </c>
      <c r="XFD444" s="678">
        <f t="shared" si="31"/>
        <v>0</v>
      </c>
    </row>
    <row r="445" spans="1:20 16383:16384" s="674" customFormat="1" hidden="1" outlineLevel="1" x14ac:dyDescent="0.2">
      <c r="A445" s="291"/>
      <c r="B445" s="291"/>
      <c r="C445" s="637">
        <v>0</v>
      </c>
      <c r="D445" s="661"/>
      <c r="E445" s="644">
        <v>0</v>
      </c>
      <c r="F445" s="662"/>
      <c r="G445" s="662"/>
      <c r="H445" s="662"/>
      <c r="I445" s="646"/>
      <c r="J445" s="646"/>
      <c r="K445" s="646"/>
      <c r="L445" s="646">
        <f t="shared" si="32"/>
        <v>0</v>
      </c>
      <c r="M445" s="663">
        <f t="shared" si="29"/>
        <v>0</v>
      </c>
      <c r="N445" s="672"/>
      <c r="O445" s="701">
        <f t="shared" si="30"/>
        <v>0</v>
      </c>
      <c r="P445" s="672"/>
      <c r="Q445" s="672"/>
      <c r="R445" s="672"/>
      <c r="S445" s="672"/>
      <c r="T445" s="672"/>
      <c r="XFC445" s="674">
        <f t="shared" si="28"/>
        <v>0</v>
      </c>
      <c r="XFD445" s="678">
        <f t="shared" si="31"/>
        <v>0</v>
      </c>
    </row>
    <row r="446" spans="1:20 16383:16384" s="674" customFormat="1" hidden="1" outlineLevel="1" x14ac:dyDescent="0.2">
      <c r="A446" s="291"/>
      <c r="B446" s="291"/>
      <c r="C446" s="637">
        <v>0</v>
      </c>
      <c r="D446" s="661"/>
      <c r="E446" s="644">
        <v>0</v>
      </c>
      <c r="F446" s="662"/>
      <c r="G446" s="662"/>
      <c r="H446" s="662"/>
      <c r="I446" s="646"/>
      <c r="J446" s="646"/>
      <c r="K446" s="646"/>
      <c r="L446" s="646">
        <f t="shared" si="32"/>
        <v>0</v>
      </c>
      <c r="M446" s="663">
        <f t="shared" si="29"/>
        <v>0</v>
      </c>
      <c r="N446" s="672"/>
      <c r="O446" s="701">
        <f t="shared" si="30"/>
        <v>0</v>
      </c>
      <c r="P446" s="672"/>
      <c r="Q446" s="672"/>
      <c r="R446" s="672"/>
      <c r="S446" s="672"/>
      <c r="T446" s="672"/>
      <c r="XFC446" s="674">
        <f t="shared" si="28"/>
        <v>0</v>
      </c>
      <c r="XFD446" s="678">
        <f t="shared" si="31"/>
        <v>0</v>
      </c>
    </row>
    <row r="447" spans="1:20 16383:16384" s="674" customFormat="1" hidden="1" outlineLevel="1" x14ac:dyDescent="0.2">
      <c r="A447" s="291"/>
      <c r="B447" s="291"/>
      <c r="C447" s="637">
        <v>0</v>
      </c>
      <c r="D447" s="661"/>
      <c r="E447" s="644">
        <v>0</v>
      </c>
      <c r="F447" s="662"/>
      <c r="G447" s="662"/>
      <c r="H447" s="662"/>
      <c r="I447" s="646"/>
      <c r="J447" s="646"/>
      <c r="K447" s="646"/>
      <c r="L447" s="646">
        <f t="shared" si="32"/>
        <v>0</v>
      </c>
      <c r="M447" s="663">
        <f t="shared" si="29"/>
        <v>0</v>
      </c>
      <c r="N447" s="672"/>
      <c r="O447" s="701">
        <f t="shared" si="30"/>
        <v>0</v>
      </c>
      <c r="P447" s="672"/>
      <c r="Q447" s="672"/>
      <c r="R447" s="672"/>
      <c r="S447" s="672"/>
      <c r="T447" s="672"/>
      <c r="XFC447" s="674">
        <f t="shared" si="28"/>
        <v>0</v>
      </c>
      <c r="XFD447" s="678">
        <f t="shared" si="31"/>
        <v>0</v>
      </c>
    </row>
    <row r="448" spans="1:20 16383:16384" s="674" customFormat="1" hidden="1" outlineLevel="1" x14ac:dyDescent="0.2">
      <c r="A448" s="291"/>
      <c r="B448" s="291"/>
      <c r="C448" s="637">
        <v>0</v>
      </c>
      <c r="D448" s="661"/>
      <c r="E448" s="644">
        <v>0</v>
      </c>
      <c r="F448" s="662"/>
      <c r="G448" s="662"/>
      <c r="H448" s="662"/>
      <c r="I448" s="646"/>
      <c r="J448" s="646"/>
      <c r="K448" s="646"/>
      <c r="L448" s="646">
        <f t="shared" si="32"/>
        <v>0</v>
      </c>
      <c r="M448" s="663">
        <f t="shared" si="29"/>
        <v>0</v>
      </c>
      <c r="N448" s="672"/>
      <c r="O448" s="701">
        <f t="shared" si="30"/>
        <v>0</v>
      </c>
      <c r="P448" s="672"/>
      <c r="Q448" s="672"/>
      <c r="R448" s="672"/>
      <c r="S448" s="672"/>
      <c r="T448" s="672"/>
      <c r="XFC448" s="674">
        <f t="shared" si="28"/>
        <v>0</v>
      </c>
      <c r="XFD448" s="678">
        <f t="shared" si="31"/>
        <v>0</v>
      </c>
    </row>
    <row r="449" spans="1:20 16383:16384" s="674" customFormat="1" hidden="1" outlineLevel="1" x14ac:dyDescent="0.2">
      <c r="A449" s="291"/>
      <c r="B449" s="291"/>
      <c r="C449" s="637">
        <v>0</v>
      </c>
      <c r="D449" s="661"/>
      <c r="E449" s="644">
        <v>0</v>
      </c>
      <c r="F449" s="662"/>
      <c r="G449" s="662"/>
      <c r="H449" s="662"/>
      <c r="I449" s="646"/>
      <c r="J449" s="646"/>
      <c r="K449" s="646"/>
      <c r="L449" s="646">
        <f t="shared" si="32"/>
        <v>0</v>
      </c>
      <c r="M449" s="663">
        <f t="shared" si="29"/>
        <v>0</v>
      </c>
      <c r="N449" s="672"/>
      <c r="O449" s="701">
        <f t="shared" si="30"/>
        <v>0</v>
      </c>
      <c r="P449" s="672"/>
      <c r="Q449" s="672"/>
      <c r="R449" s="672"/>
      <c r="S449" s="672"/>
      <c r="T449" s="672"/>
      <c r="XFC449" s="674">
        <f t="shared" si="28"/>
        <v>0</v>
      </c>
      <c r="XFD449" s="678">
        <f t="shared" si="31"/>
        <v>0</v>
      </c>
    </row>
    <row r="450" spans="1:20 16383:16384" s="674" customFormat="1" hidden="1" outlineLevel="1" x14ac:dyDescent="0.2">
      <c r="A450" s="291"/>
      <c r="B450" s="291"/>
      <c r="C450" s="637">
        <v>0</v>
      </c>
      <c r="D450" s="661"/>
      <c r="E450" s="644">
        <v>0</v>
      </c>
      <c r="F450" s="662"/>
      <c r="G450" s="662"/>
      <c r="H450" s="662"/>
      <c r="I450" s="646"/>
      <c r="J450" s="646"/>
      <c r="K450" s="646"/>
      <c r="L450" s="646">
        <f t="shared" si="32"/>
        <v>0</v>
      </c>
      <c r="M450" s="663">
        <f t="shared" si="29"/>
        <v>0</v>
      </c>
      <c r="N450" s="672"/>
      <c r="O450" s="701">
        <f t="shared" si="30"/>
        <v>0</v>
      </c>
      <c r="P450" s="672"/>
      <c r="Q450" s="672"/>
      <c r="R450" s="672"/>
      <c r="S450" s="672"/>
      <c r="T450" s="672"/>
      <c r="XFC450" s="674">
        <f t="shared" si="28"/>
        <v>0</v>
      </c>
      <c r="XFD450" s="678">
        <f t="shared" si="31"/>
        <v>0</v>
      </c>
    </row>
    <row r="451" spans="1:20 16383:16384" s="674" customFormat="1" hidden="1" outlineLevel="1" x14ac:dyDescent="0.2">
      <c r="A451" s="291"/>
      <c r="B451" s="291"/>
      <c r="C451" s="637">
        <v>0</v>
      </c>
      <c r="D451" s="661"/>
      <c r="E451" s="644">
        <v>0</v>
      </c>
      <c r="F451" s="662"/>
      <c r="G451" s="662"/>
      <c r="H451" s="662"/>
      <c r="I451" s="646"/>
      <c r="J451" s="646"/>
      <c r="K451" s="646"/>
      <c r="L451" s="646">
        <f t="shared" si="32"/>
        <v>0</v>
      </c>
      <c r="M451" s="663">
        <f t="shared" si="29"/>
        <v>0</v>
      </c>
      <c r="N451" s="672"/>
      <c r="O451" s="701">
        <f t="shared" si="30"/>
        <v>0</v>
      </c>
      <c r="P451" s="672"/>
      <c r="Q451" s="672"/>
      <c r="R451" s="672"/>
      <c r="S451" s="672"/>
      <c r="T451" s="672"/>
      <c r="XFC451" s="674">
        <f t="shared" si="28"/>
        <v>0</v>
      </c>
      <c r="XFD451" s="678">
        <f t="shared" si="31"/>
        <v>0</v>
      </c>
    </row>
    <row r="452" spans="1:20 16383:16384" s="674" customFormat="1" hidden="1" outlineLevel="1" x14ac:dyDescent="0.2">
      <c r="A452" s="291"/>
      <c r="B452" s="291"/>
      <c r="C452" s="637">
        <v>0</v>
      </c>
      <c r="D452" s="661"/>
      <c r="E452" s="644">
        <v>0</v>
      </c>
      <c r="F452" s="662"/>
      <c r="G452" s="662"/>
      <c r="H452" s="662"/>
      <c r="I452" s="646"/>
      <c r="J452" s="646"/>
      <c r="K452" s="646"/>
      <c r="L452" s="646">
        <f t="shared" si="32"/>
        <v>0</v>
      </c>
      <c r="M452" s="663">
        <f t="shared" si="29"/>
        <v>0</v>
      </c>
      <c r="N452" s="672"/>
      <c r="O452" s="701">
        <f t="shared" si="30"/>
        <v>0</v>
      </c>
      <c r="P452" s="672"/>
      <c r="Q452" s="672"/>
      <c r="R452" s="672"/>
      <c r="S452" s="672"/>
      <c r="T452" s="672"/>
      <c r="XFC452" s="674">
        <f t="shared" si="28"/>
        <v>0</v>
      </c>
      <c r="XFD452" s="678">
        <f t="shared" si="31"/>
        <v>0</v>
      </c>
    </row>
    <row r="453" spans="1:20 16383:16384" s="674" customFormat="1" hidden="1" outlineLevel="1" x14ac:dyDescent="0.2">
      <c r="A453" s="291"/>
      <c r="B453" s="291"/>
      <c r="C453" s="637">
        <v>0</v>
      </c>
      <c r="D453" s="661"/>
      <c r="E453" s="644">
        <v>0</v>
      </c>
      <c r="F453" s="662"/>
      <c r="G453" s="662"/>
      <c r="H453" s="662"/>
      <c r="I453" s="646"/>
      <c r="J453" s="646"/>
      <c r="K453" s="646"/>
      <c r="L453" s="646">
        <f t="shared" si="32"/>
        <v>0</v>
      </c>
      <c r="M453" s="663">
        <f t="shared" si="29"/>
        <v>0</v>
      </c>
      <c r="N453" s="672"/>
      <c r="O453" s="701">
        <f t="shared" si="30"/>
        <v>0</v>
      </c>
      <c r="P453" s="672"/>
      <c r="Q453" s="672"/>
      <c r="R453" s="672"/>
      <c r="S453" s="672"/>
      <c r="T453" s="672"/>
      <c r="XFC453" s="674">
        <f t="shared" si="28"/>
        <v>0</v>
      </c>
      <c r="XFD453" s="678">
        <f t="shared" si="31"/>
        <v>0</v>
      </c>
    </row>
    <row r="454" spans="1:20 16383:16384" s="674" customFormat="1" hidden="1" outlineLevel="1" x14ac:dyDescent="0.2">
      <c r="A454" s="291"/>
      <c r="B454" s="291"/>
      <c r="C454" s="637">
        <v>0</v>
      </c>
      <c r="D454" s="661"/>
      <c r="E454" s="644">
        <v>0</v>
      </c>
      <c r="F454" s="662"/>
      <c r="G454" s="662"/>
      <c r="H454" s="662"/>
      <c r="I454" s="646"/>
      <c r="J454" s="646"/>
      <c r="K454" s="646"/>
      <c r="L454" s="646">
        <f t="shared" si="32"/>
        <v>0</v>
      </c>
      <c r="M454" s="663">
        <f t="shared" si="29"/>
        <v>0</v>
      </c>
      <c r="N454" s="672"/>
      <c r="O454" s="701">
        <f t="shared" si="30"/>
        <v>0</v>
      </c>
      <c r="P454" s="672"/>
      <c r="Q454" s="672"/>
      <c r="R454" s="672"/>
      <c r="S454" s="672"/>
      <c r="T454" s="672"/>
      <c r="XFC454" s="674">
        <f t="shared" si="28"/>
        <v>0</v>
      </c>
      <c r="XFD454" s="678">
        <f t="shared" si="31"/>
        <v>0</v>
      </c>
    </row>
    <row r="455" spans="1:20 16383:16384" s="674" customFormat="1" hidden="1" outlineLevel="1" x14ac:dyDescent="0.2">
      <c r="A455" s="291"/>
      <c r="B455" s="291"/>
      <c r="C455" s="637">
        <v>0</v>
      </c>
      <c r="D455" s="661"/>
      <c r="E455" s="644">
        <v>0</v>
      </c>
      <c r="F455" s="662"/>
      <c r="G455" s="662"/>
      <c r="H455" s="662"/>
      <c r="I455" s="646"/>
      <c r="J455" s="646"/>
      <c r="K455" s="646"/>
      <c r="L455" s="646">
        <f t="shared" si="32"/>
        <v>0</v>
      </c>
      <c r="M455" s="663">
        <f t="shared" si="29"/>
        <v>0</v>
      </c>
      <c r="N455" s="672"/>
      <c r="O455" s="701">
        <f t="shared" si="30"/>
        <v>0</v>
      </c>
      <c r="P455" s="672"/>
      <c r="Q455" s="672"/>
      <c r="R455" s="672"/>
      <c r="S455" s="672"/>
      <c r="T455" s="672"/>
      <c r="XFC455" s="674">
        <f t="shared" si="28"/>
        <v>0</v>
      </c>
      <c r="XFD455" s="678">
        <f t="shared" si="31"/>
        <v>0</v>
      </c>
    </row>
    <row r="456" spans="1:20 16383:16384" s="674" customFormat="1" hidden="1" outlineLevel="1" x14ac:dyDescent="0.2">
      <c r="A456" s="291"/>
      <c r="B456" s="291"/>
      <c r="C456" s="637">
        <v>0</v>
      </c>
      <c r="D456" s="661"/>
      <c r="E456" s="644">
        <v>0</v>
      </c>
      <c r="F456" s="662"/>
      <c r="G456" s="662"/>
      <c r="H456" s="662"/>
      <c r="I456" s="646"/>
      <c r="J456" s="646"/>
      <c r="K456" s="646"/>
      <c r="L456" s="646">
        <f t="shared" si="32"/>
        <v>0</v>
      </c>
      <c r="M456" s="663">
        <f t="shared" si="29"/>
        <v>0</v>
      </c>
      <c r="N456" s="672"/>
      <c r="O456" s="701">
        <f t="shared" si="30"/>
        <v>0</v>
      </c>
      <c r="P456" s="672"/>
      <c r="Q456" s="672"/>
      <c r="R456" s="672"/>
      <c r="S456" s="672"/>
      <c r="T456" s="672"/>
      <c r="XFC456" s="674">
        <f t="shared" si="28"/>
        <v>0</v>
      </c>
      <c r="XFD456" s="678">
        <f t="shared" si="31"/>
        <v>0</v>
      </c>
    </row>
    <row r="457" spans="1:20 16383:16384" s="674" customFormat="1" hidden="1" outlineLevel="1" x14ac:dyDescent="0.2">
      <c r="A457" s="291"/>
      <c r="B457" s="291"/>
      <c r="C457" s="637">
        <v>0</v>
      </c>
      <c r="D457" s="661"/>
      <c r="E457" s="644">
        <v>0</v>
      </c>
      <c r="F457" s="662"/>
      <c r="G457" s="662"/>
      <c r="H457" s="662"/>
      <c r="I457" s="646"/>
      <c r="J457" s="646"/>
      <c r="K457" s="646"/>
      <c r="L457" s="646">
        <f t="shared" si="32"/>
        <v>0</v>
      </c>
      <c r="M457" s="663">
        <f t="shared" si="29"/>
        <v>0</v>
      </c>
      <c r="N457" s="672"/>
      <c r="O457" s="701">
        <f t="shared" si="30"/>
        <v>0</v>
      </c>
      <c r="P457" s="672"/>
      <c r="Q457" s="672"/>
      <c r="R457" s="672"/>
      <c r="S457" s="672"/>
      <c r="T457" s="672"/>
      <c r="XFC457" s="674">
        <f t="shared" si="28"/>
        <v>0</v>
      </c>
      <c r="XFD457" s="678">
        <f t="shared" si="31"/>
        <v>0</v>
      </c>
    </row>
    <row r="458" spans="1:20 16383:16384" s="674" customFormat="1" hidden="1" outlineLevel="1" x14ac:dyDescent="0.2">
      <c r="A458" s="291"/>
      <c r="B458" s="291"/>
      <c r="C458" s="637">
        <v>0</v>
      </c>
      <c r="D458" s="661"/>
      <c r="E458" s="644">
        <v>0</v>
      </c>
      <c r="F458" s="662"/>
      <c r="G458" s="662"/>
      <c r="H458" s="662"/>
      <c r="I458" s="646"/>
      <c r="J458" s="646"/>
      <c r="K458" s="646"/>
      <c r="L458" s="646">
        <f t="shared" si="32"/>
        <v>0</v>
      </c>
      <c r="M458" s="663">
        <f t="shared" si="29"/>
        <v>0</v>
      </c>
      <c r="N458" s="672"/>
      <c r="O458" s="701">
        <f t="shared" si="30"/>
        <v>0</v>
      </c>
      <c r="P458" s="672"/>
      <c r="Q458" s="672"/>
      <c r="R458" s="672"/>
      <c r="S458" s="672"/>
      <c r="T458" s="672"/>
      <c r="XFC458" s="674">
        <f t="shared" si="28"/>
        <v>0</v>
      </c>
      <c r="XFD458" s="678">
        <f t="shared" si="31"/>
        <v>0</v>
      </c>
    </row>
    <row r="459" spans="1:20 16383:16384" s="674" customFormat="1" hidden="1" outlineLevel="1" x14ac:dyDescent="0.2">
      <c r="A459" s="291"/>
      <c r="B459" s="291"/>
      <c r="C459" s="637">
        <v>0</v>
      </c>
      <c r="D459" s="661"/>
      <c r="E459" s="644">
        <v>0</v>
      </c>
      <c r="F459" s="662"/>
      <c r="G459" s="662"/>
      <c r="H459" s="662"/>
      <c r="I459" s="646"/>
      <c r="J459" s="646"/>
      <c r="K459" s="646"/>
      <c r="L459" s="646">
        <f t="shared" si="32"/>
        <v>0</v>
      </c>
      <c r="M459" s="663">
        <f t="shared" si="29"/>
        <v>0</v>
      </c>
      <c r="N459" s="672"/>
      <c r="O459" s="701">
        <f t="shared" si="30"/>
        <v>0</v>
      </c>
      <c r="P459" s="672"/>
      <c r="Q459" s="672"/>
      <c r="R459" s="672"/>
      <c r="S459" s="672"/>
      <c r="T459" s="672"/>
      <c r="XFC459" s="674">
        <f t="shared" si="28"/>
        <v>0</v>
      </c>
      <c r="XFD459" s="678">
        <f t="shared" si="31"/>
        <v>0</v>
      </c>
    </row>
    <row r="460" spans="1:20 16383:16384" s="674" customFormat="1" hidden="1" outlineLevel="1" x14ac:dyDescent="0.2">
      <c r="A460" s="291"/>
      <c r="B460" s="291"/>
      <c r="C460" s="637">
        <v>0</v>
      </c>
      <c r="D460" s="661"/>
      <c r="E460" s="644">
        <v>0</v>
      </c>
      <c r="F460" s="662"/>
      <c r="G460" s="662"/>
      <c r="H460" s="662"/>
      <c r="I460" s="646"/>
      <c r="J460" s="646"/>
      <c r="K460" s="646"/>
      <c r="L460" s="646">
        <f t="shared" si="32"/>
        <v>0</v>
      </c>
      <c r="M460" s="663">
        <f t="shared" si="29"/>
        <v>0</v>
      </c>
      <c r="N460" s="672"/>
      <c r="O460" s="701">
        <f t="shared" si="30"/>
        <v>0</v>
      </c>
      <c r="P460" s="672"/>
      <c r="Q460" s="672"/>
      <c r="R460" s="672"/>
      <c r="S460" s="672"/>
      <c r="T460" s="672"/>
      <c r="XFC460" s="674">
        <f t="shared" si="28"/>
        <v>0</v>
      </c>
      <c r="XFD460" s="678">
        <f t="shared" si="31"/>
        <v>0</v>
      </c>
    </row>
    <row r="461" spans="1:20 16383:16384" s="674" customFormat="1" hidden="1" outlineLevel="1" x14ac:dyDescent="0.2">
      <c r="A461" s="291"/>
      <c r="B461" s="291"/>
      <c r="C461" s="637">
        <v>0</v>
      </c>
      <c r="D461" s="661"/>
      <c r="E461" s="644">
        <v>0</v>
      </c>
      <c r="F461" s="662"/>
      <c r="G461" s="662"/>
      <c r="H461" s="662"/>
      <c r="I461" s="646"/>
      <c r="J461" s="646"/>
      <c r="K461" s="646"/>
      <c r="L461" s="646">
        <f t="shared" si="32"/>
        <v>0</v>
      </c>
      <c r="M461" s="663">
        <f t="shared" si="29"/>
        <v>0</v>
      </c>
      <c r="N461" s="672"/>
      <c r="O461" s="701">
        <f t="shared" si="30"/>
        <v>0</v>
      </c>
      <c r="P461" s="672"/>
      <c r="Q461" s="672"/>
      <c r="R461" s="672"/>
      <c r="S461" s="672"/>
      <c r="T461" s="672"/>
      <c r="XFC461" s="674">
        <f t="shared" si="28"/>
        <v>0</v>
      </c>
      <c r="XFD461" s="678">
        <f t="shared" si="31"/>
        <v>0</v>
      </c>
    </row>
    <row r="462" spans="1:20 16383:16384" s="674" customFormat="1" hidden="1" outlineLevel="1" x14ac:dyDescent="0.2">
      <c r="A462" s="291"/>
      <c r="B462" s="291"/>
      <c r="C462" s="637">
        <v>0</v>
      </c>
      <c r="D462" s="661"/>
      <c r="E462" s="644">
        <v>0</v>
      </c>
      <c r="F462" s="662"/>
      <c r="G462" s="662"/>
      <c r="H462" s="662"/>
      <c r="I462" s="646"/>
      <c r="J462" s="646"/>
      <c r="K462" s="646"/>
      <c r="L462" s="646">
        <f t="shared" si="32"/>
        <v>0</v>
      </c>
      <c r="M462" s="663">
        <f t="shared" si="29"/>
        <v>0</v>
      </c>
      <c r="N462" s="672"/>
      <c r="O462" s="701">
        <f t="shared" si="30"/>
        <v>0</v>
      </c>
      <c r="P462" s="672"/>
      <c r="Q462" s="672"/>
      <c r="R462" s="672"/>
      <c r="S462" s="672"/>
      <c r="T462" s="672"/>
      <c r="XFC462" s="674">
        <f t="shared" si="28"/>
        <v>0</v>
      </c>
      <c r="XFD462" s="678">
        <f t="shared" si="31"/>
        <v>0</v>
      </c>
    </row>
    <row r="463" spans="1:20 16383:16384" s="674" customFormat="1" hidden="1" outlineLevel="1" x14ac:dyDescent="0.2">
      <c r="A463" s="291"/>
      <c r="B463" s="291"/>
      <c r="C463" s="637">
        <v>0</v>
      </c>
      <c r="D463" s="661"/>
      <c r="E463" s="644">
        <v>0</v>
      </c>
      <c r="F463" s="662"/>
      <c r="G463" s="662"/>
      <c r="H463" s="662"/>
      <c r="I463" s="646"/>
      <c r="J463" s="646"/>
      <c r="K463" s="646"/>
      <c r="L463" s="646">
        <f t="shared" si="32"/>
        <v>0</v>
      </c>
      <c r="M463" s="663">
        <f t="shared" si="29"/>
        <v>0</v>
      </c>
      <c r="N463" s="672"/>
      <c r="O463" s="701">
        <f t="shared" si="30"/>
        <v>0</v>
      </c>
      <c r="P463" s="672"/>
      <c r="Q463" s="672"/>
      <c r="R463" s="672"/>
      <c r="S463" s="672"/>
      <c r="T463" s="672"/>
      <c r="XFC463" s="674">
        <f t="shared" si="28"/>
        <v>0</v>
      </c>
      <c r="XFD463" s="678">
        <f t="shared" si="31"/>
        <v>0</v>
      </c>
    </row>
    <row r="464" spans="1:20 16383:16384" s="674" customFormat="1" hidden="1" outlineLevel="1" x14ac:dyDescent="0.2">
      <c r="A464" s="291"/>
      <c r="B464" s="291"/>
      <c r="C464" s="637">
        <v>0</v>
      </c>
      <c r="D464" s="661"/>
      <c r="E464" s="644">
        <v>0</v>
      </c>
      <c r="F464" s="662"/>
      <c r="G464" s="662"/>
      <c r="H464" s="662"/>
      <c r="I464" s="646"/>
      <c r="J464" s="646"/>
      <c r="K464" s="646"/>
      <c r="L464" s="646">
        <f t="shared" si="32"/>
        <v>0</v>
      </c>
      <c r="M464" s="663">
        <f t="shared" si="29"/>
        <v>0</v>
      </c>
      <c r="N464" s="672"/>
      <c r="O464" s="701">
        <f t="shared" si="30"/>
        <v>0</v>
      </c>
      <c r="P464" s="672"/>
      <c r="Q464" s="672"/>
      <c r="R464" s="672"/>
      <c r="S464" s="672"/>
      <c r="T464" s="672"/>
      <c r="XFC464" s="674">
        <f t="shared" si="28"/>
        <v>0</v>
      </c>
      <c r="XFD464" s="678">
        <f t="shared" si="31"/>
        <v>0</v>
      </c>
    </row>
    <row r="465" spans="1:20 16383:16384" s="674" customFormat="1" hidden="1" outlineLevel="1" x14ac:dyDescent="0.2">
      <c r="A465" s="291"/>
      <c r="B465" s="291"/>
      <c r="C465" s="637">
        <v>0</v>
      </c>
      <c r="D465" s="661"/>
      <c r="E465" s="644">
        <v>0</v>
      </c>
      <c r="F465" s="662"/>
      <c r="G465" s="662"/>
      <c r="H465" s="662"/>
      <c r="I465" s="646"/>
      <c r="J465" s="646"/>
      <c r="K465" s="646"/>
      <c r="L465" s="646">
        <f t="shared" si="32"/>
        <v>0</v>
      </c>
      <c r="M465" s="663">
        <f t="shared" si="29"/>
        <v>0</v>
      </c>
      <c r="N465" s="672"/>
      <c r="O465" s="701">
        <f t="shared" si="30"/>
        <v>0</v>
      </c>
      <c r="P465" s="672"/>
      <c r="Q465" s="672"/>
      <c r="R465" s="672"/>
      <c r="S465" s="672"/>
      <c r="T465" s="672"/>
      <c r="XFC465" s="674">
        <f t="shared" si="28"/>
        <v>0</v>
      </c>
      <c r="XFD465" s="678">
        <f t="shared" si="31"/>
        <v>0</v>
      </c>
    </row>
    <row r="466" spans="1:20 16383:16384" s="674" customFormat="1" hidden="1" outlineLevel="1" x14ac:dyDescent="0.2">
      <c r="A466" s="291"/>
      <c r="B466" s="291"/>
      <c r="C466" s="637">
        <v>0</v>
      </c>
      <c r="D466" s="661"/>
      <c r="E466" s="644">
        <v>0</v>
      </c>
      <c r="F466" s="662"/>
      <c r="G466" s="662"/>
      <c r="H466" s="662"/>
      <c r="I466" s="646"/>
      <c r="J466" s="646"/>
      <c r="K466" s="646"/>
      <c r="L466" s="646">
        <f t="shared" si="32"/>
        <v>0</v>
      </c>
      <c r="M466" s="663">
        <f t="shared" si="29"/>
        <v>0</v>
      </c>
      <c r="N466" s="672"/>
      <c r="O466" s="701">
        <f t="shared" si="30"/>
        <v>0</v>
      </c>
      <c r="P466" s="672"/>
      <c r="Q466" s="672"/>
      <c r="R466" s="672"/>
      <c r="S466" s="672"/>
      <c r="T466" s="672"/>
      <c r="XFC466" s="674">
        <f t="shared" si="28"/>
        <v>0</v>
      </c>
      <c r="XFD466" s="678">
        <f t="shared" si="31"/>
        <v>0</v>
      </c>
    </row>
    <row r="467" spans="1:20 16383:16384" s="674" customFormat="1" hidden="1" outlineLevel="1" x14ac:dyDescent="0.2">
      <c r="A467" s="291"/>
      <c r="B467" s="291"/>
      <c r="C467" s="637">
        <v>0</v>
      </c>
      <c r="D467" s="661"/>
      <c r="E467" s="644">
        <v>0</v>
      </c>
      <c r="F467" s="662"/>
      <c r="G467" s="662"/>
      <c r="H467" s="662"/>
      <c r="I467" s="646"/>
      <c r="J467" s="646"/>
      <c r="K467" s="646"/>
      <c r="L467" s="646">
        <f t="shared" si="32"/>
        <v>0</v>
      </c>
      <c r="M467" s="663">
        <f t="shared" si="29"/>
        <v>0</v>
      </c>
      <c r="N467" s="672"/>
      <c r="O467" s="701">
        <f t="shared" si="30"/>
        <v>0</v>
      </c>
      <c r="P467" s="672"/>
      <c r="Q467" s="672"/>
      <c r="R467" s="672"/>
      <c r="S467" s="672"/>
      <c r="T467" s="672"/>
      <c r="XFC467" s="674">
        <f t="shared" ref="XFC467:XFC507" si="33">IF(AND(K467&gt;0,L467=""),1,0)</f>
        <v>0</v>
      </c>
      <c r="XFD467" s="678">
        <f t="shared" si="31"/>
        <v>0</v>
      </c>
    </row>
    <row r="468" spans="1:20 16383:16384" s="674" customFormat="1" hidden="1" outlineLevel="1" x14ac:dyDescent="0.2">
      <c r="A468" s="291"/>
      <c r="B468" s="291"/>
      <c r="C468" s="637">
        <v>0</v>
      </c>
      <c r="D468" s="661"/>
      <c r="E468" s="644">
        <v>0</v>
      </c>
      <c r="F468" s="662"/>
      <c r="G468" s="662"/>
      <c r="H468" s="662"/>
      <c r="I468" s="646"/>
      <c r="J468" s="646"/>
      <c r="K468" s="646"/>
      <c r="L468" s="646">
        <f t="shared" si="32"/>
        <v>0</v>
      </c>
      <c r="M468" s="663">
        <f t="shared" ref="M468:M506" si="34">+J468-K468</f>
        <v>0</v>
      </c>
      <c r="N468" s="672"/>
      <c r="O468" s="701">
        <f t="shared" ref="O468:O507" si="35">IFERROR((+K468/I468),0)</f>
        <v>0</v>
      </c>
      <c r="P468" s="672"/>
      <c r="Q468" s="672"/>
      <c r="R468" s="672"/>
      <c r="S468" s="672"/>
      <c r="T468" s="672"/>
      <c r="XFC468" s="674">
        <f t="shared" si="33"/>
        <v>0</v>
      </c>
      <c r="XFD468" s="678">
        <f t="shared" ref="XFD468:XFD507" si="36">+K468</f>
        <v>0</v>
      </c>
    </row>
    <row r="469" spans="1:20 16383:16384" s="674" customFormat="1" hidden="1" outlineLevel="1" x14ac:dyDescent="0.2">
      <c r="A469" s="291"/>
      <c r="B469" s="291"/>
      <c r="C469" s="637">
        <v>0</v>
      </c>
      <c r="D469" s="661"/>
      <c r="E469" s="644">
        <v>0</v>
      </c>
      <c r="F469" s="662"/>
      <c r="G469" s="662"/>
      <c r="H469" s="662"/>
      <c r="I469" s="646"/>
      <c r="J469" s="646"/>
      <c r="K469" s="646"/>
      <c r="L469" s="646">
        <f t="shared" si="32"/>
        <v>0</v>
      </c>
      <c r="M469" s="663">
        <f t="shared" si="34"/>
        <v>0</v>
      </c>
      <c r="N469" s="672"/>
      <c r="O469" s="701">
        <f t="shared" si="35"/>
        <v>0</v>
      </c>
      <c r="P469" s="672"/>
      <c r="Q469" s="672"/>
      <c r="R469" s="672"/>
      <c r="S469" s="672"/>
      <c r="T469" s="672"/>
      <c r="XFC469" s="674">
        <f t="shared" si="33"/>
        <v>0</v>
      </c>
      <c r="XFD469" s="678">
        <f t="shared" si="36"/>
        <v>0</v>
      </c>
    </row>
    <row r="470" spans="1:20 16383:16384" s="674" customFormat="1" hidden="1" outlineLevel="1" x14ac:dyDescent="0.2">
      <c r="A470" s="291"/>
      <c r="B470" s="291"/>
      <c r="C470" s="637">
        <v>0</v>
      </c>
      <c r="D470" s="661"/>
      <c r="E470" s="644">
        <v>0</v>
      </c>
      <c r="F470" s="662"/>
      <c r="G470" s="662"/>
      <c r="H470" s="662"/>
      <c r="I470" s="646"/>
      <c r="J470" s="646"/>
      <c r="K470" s="646"/>
      <c r="L470" s="646">
        <f t="shared" si="32"/>
        <v>0</v>
      </c>
      <c r="M470" s="663">
        <f t="shared" si="34"/>
        <v>0</v>
      </c>
      <c r="N470" s="672"/>
      <c r="O470" s="701">
        <f t="shared" si="35"/>
        <v>0</v>
      </c>
      <c r="P470" s="672"/>
      <c r="Q470" s="672"/>
      <c r="R470" s="672"/>
      <c r="S470" s="672"/>
      <c r="T470" s="672"/>
      <c r="XFC470" s="674">
        <f t="shared" si="33"/>
        <v>0</v>
      </c>
      <c r="XFD470" s="678">
        <f t="shared" si="36"/>
        <v>0</v>
      </c>
    </row>
    <row r="471" spans="1:20 16383:16384" s="674" customFormat="1" hidden="1" outlineLevel="1" x14ac:dyDescent="0.2">
      <c r="A471" s="291"/>
      <c r="B471" s="291"/>
      <c r="C471" s="637">
        <v>0</v>
      </c>
      <c r="D471" s="661"/>
      <c r="E471" s="644">
        <v>0</v>
      </c>
      <c r="F471" s="662"/>
      <c r="G471" s="662"/>
      <c r="H471" s="662"/>
      <c r="I471" s="646"/>
      <c r="J471" s="646"/>
      <c r="K471" s="646"/>
      <c r="L471" s="646">
        <f t="shared" si="32"/>
        <v>0</v>
      </c>
      <c r="M471" s="663">
        <f t="shared" si="34"/>
        <v>0</v>
      </c>
      <c r="N471" s="672"/>
      <c r="O471" s="701">
        <f t="shared" si="35"/>
        <v>0</v>
      </c>
      <c r="P471" s="672"/>
      <c r="Q471" s="672"/>
      <c r="R471" s="672"/>
      <c r="S471" s="672"/>
      <c r="T471" s="672"/>
      <c r="XFC471" s="674">
        <f t="shared" si="33"/>
        <v>0</v>
      </c>
      <c r="XFD471" s="678">
        <f t="shared" si="36"/>
        <v>0</v>
      </c>
    </row>
    <row r="472" spans="1:20 16383:16384" s="674" customFormat="1" hidden="1" outlineLevel="1" x14ac:dyDescent="0.2">
      <c r="A472" s="291"/>
      <c r="B472" s="291"/>
      <c r="C472" s="637">
        <v>0</v>
      </c>
      <c r="D472" s="661"/>
      <c r="E472" s="644">
        <v>0</v>
      </c>
      <c r="F472" s="662"/>
      <c r="G472" s="662"/>
      <c r="H472" s="662"/>
      <c r="I472" s="646"/>
      <c r="J472" s="646"/>
      <c r="K472" s="646"/>
      <c r="L472" s="646">
        <f t="shared" si="32"/>
        <v>0</v>
      </c>
      <c r="M472" s="663">
        <f t="shared" si="34"/>
        <v>0</v>
      </c>
      <c r="N472" s="672"/>
      <c r="O472" s="701">
        <f t="shared" si="35"/>
        <v>0</v>
      </c>
      <c r="P472" s="672"/>
      <c r="Q472" s="672"/>
      <c r="R472" s="672"/>
      <c r="S472" s="672"/>
      <c r="T472" s="672"/>
      <c r="XFC472" s="674">
        <f t="shared" si="33"/>
        <v>0</v>
      </c>
      <c r="XFD472" s="678">
        <f t="shared" si="36"/>
        <v>0</v>
      </c>
    </row>
    <row r="473" spans="1:20 16383:16384" s="674" customFormat="1" hidden="1" outlineLevel="1" x14ac:dyDescent="0.2">
      <c r="A473" s="291"/>
      <c r="B473" s="291"/>
      <c r="C473" s="637">
        <v>0</v>
      </c>
      <c r="D473" s="661"/>
      <c r="E473" s="644">
        <v>0</v>
      </c>
      <c r="F473" s="662"/>
      <c r="G473" s="662"/>
      <c r="H473" s="662"/>
      <c r="I473" s="646"/>
      <c r="J473" s="646"/>
      <c r="K473" s="646"/>
      <c r="L473" s="646">
        <f t="shared" si="32"/>
        <v>0</v>
      </c>
      <c r="M473" s="663">
        <f t="shared" si="34"/>
        <v>0</v>
      </c>
      <c r="N473" s="672"/>
      <c r="O473" s="701">
        <f t="shared" si="35"/>
        <v>0</v>
      </c>
      <c r="P473" s="672"/>
      <c r="Q473" s="672"/>
      <c r="R473" s="672"/>
      <c r="S473" s="672"/>
      <c r="T473" s="672"/>
      <c r="XFC473" s="674">
        <f t="shared" si="33"/>
        <v>0</v>
      </c>
      <c r="XFD473" s="678">
        <f t="shared" si="36"/>
        <v>0</v>
      </c>
    </row>
    <row r="474" spans="1:20 16383:16384" s="674" customFormat="1" hidden="1" outlineLevel="1" x14ac:dyDescent="0.2">
      <c r="A474" s="291"/>
      <c r="B474" s="291"/>
      <c r="C474" s="637">
        <v>0</v>
      </c>
      <c r="D474" s="661"/>
      <c r="E474" s="644">
        <v>0</v>
      </c>
      <c r="F474" s="662"/>
      <c r="G474" s="662"/>
      <c r="H474" s="662"/>
      <c r="I474" s="646"/>
      <c r="J474" s="646"/>
      <c r="K474" s="646"/>
      <c r="L474" s="646">
        <f t="shared" si="32"/>
        <v>0</v>
      </c>
      <c r="M474" s="663">
        <f t="shared" si="34"/>
        <v>0</v>
      </c>
      <c r="N474" s="672"/>
      <c r="O474" s="701">
        <f t="shared" si="35"/>
        <v>0</v>
      </c>
      <c r="P474" s="672"/>
      <c r="Q474" s="672"/>
      <c r="R474" s="672"/>
      <c r="S474" s="672"/>
      <c r="T474" s="672"/>
      <c r="XFC474" s="674">
        <f t="shared" si="33"/>
        <v>0</v>
      </c>
      <c r="XFD474" s="678">
        <f t="shared" si="36"/>
        <v>0</v>
      </c>
    </row>
    <row r="475" spans="1:20 16383:16384" s="674" customFormat="1" hidden="1" outlineLevel="1" x14ac:dyDescent="0.2">
      <c r="A475" s="291"/>
      <c r="B475" s="291"/>
      <c r="C475" s="637">
        <v>0</v>
      </c>
      <c r="D475" s="661"/>
      <c r="E475" s="644">
        <v>0</v>
      </c>
      <c r="F475" s="662"/>
      <c r="G475" s="662"/>
      <c r="H475" s="662"/>
      <c r="I475" s="646"/>
      <c r="J475" s="646"/>
      <c r="K475" s="646"/>
      <c r="L475" s="646">
        <f t="shared" si="32"/>
        <v>0</v>
      </c>
      <c r="M475" s="663">
        <f t="shared" si="34"/>
        <v>0</v>
      </c>
      <c r="N475" s="672"/>
      <c r="O475" s="701">
        <f t="shared" si="35"/>
        <v>0</v>
      </c>
      <c r="P475" s="672"/>
      <c r="Q475" s="672"/>
      <c r="R475" s="672"/>
      <c r="S475" s="672"/>
      <c r="T475" s="672"/>
      <c r="XFC475" s="674">
        <f t="shared" si="33"/>
        <v>0</v>
      </c>
      <c r="XFD475" s="678">
        <f t="shared" si="36"/>
        <v>0</v>
      </c>
    </row>
    <row r="476" spans="1:20 16383:16384" s="674" customFormat="1" hidden="1" outlineLevel="1" x14ac:dyDescent="0.2">
      <c r="A476" s="291"/>
      <c r="B476" s="291"/>
      <c r="C476" s="637">
        <v>0</v>
      </c>
      <c r="D476" s="661"/>
      <c r="E476" s="644">
        <v>0</v>
      </c>
      <c r="F476" s="662"/>
      <c r="G476" s="662"/>
      <c r="H476" s="662"/>
      <c r="I476" s="646"/>
      <c r="J476" s="646"/>
      <c r="K476" s="646"/>
      <c r="L476" s="646">
        <f t="shared" si="32"/>
        <v>0</v>
      </c>
      <c r="M476" s="663">
        <f t="shared" si="34"/>
        <v>0</v>
      </c>
      <c r="N476" s="672"/>
      <c r="O476" s="701">
        <f t="shared" si="35"/>
        <v>0</v>
      </c>
      <c r="P476" s="672"/>
      <c r="Q476" s="672"/>
      <c r="R476" s="672"/>
      <c r="S476" s="672"/>
      <c r="T476" s="672"/>
      <c r="XFC476" s="674">
        <f t="shared" si="33"/>
        <v>0</v>
      </c>
      <c r="XFD476" s="678">
        <f t="shared" si="36"/>
        <v>0</v>
      </c>
    </row>
    <row r="477" spans="1:20 16383:16384" s="674" customFormat="1" hidden="1" outlineLevel="1" x14ac:dyDescent="0.2">
      <c r="A477" s="291"/>
      <c r="B477" s="291"/>
      <c r="C477" s="637">
        <v>0</v>
      </c>
      <c r="D477" s="661"/>
      <c r="E477" s="644">
        <v>0</v>
      </c>
      <c r="F477" s="662"/>
      <c r="G477" s="662"/>
      <c r="H477" s="662"/>
      <c r="I477" s="646"/>
      <c r="J477" s="646"/>
      <c r="K477" s="646"/>
      <c r="L477" s="646">
        <f t="shared" si="32"/>
        <v>0</v>
      </c>
      <c r="M477" s="663">
        <f t="shared" si="34"/>
        <v>0</v>
      </c>
      <c r="N477" s="672"/>
      <c r="O477" s="701">
        <f t="shared" si="35"/>
        <v>0</v>
      </c>
      <c r="P477" s="672"/>
      <c r="Q477" s="672"/>
      <c r="R477" s="672"/>
      <c r="S477" s="672"/>
      <c r="T477" s="672"/>
      <c r="XFC477" s="674">
        <f t="shared" si="33"/>
        <v>0</v>
      </c>
      <c r="XFD477" s="678">
        <f t="shared" si="36"/>
        <v>0</v>
      </c>
    </row>
    <row r="478" spans="1:20 16383:16384" s="674" customFormat="1" hidden="1" outlineLevel="1" x14ac:dyDescent="0.2">
      <c r="A478" s="291"/>
      <c r="B478" s="291"/>
      <c r="C478" s="637">
        <v>0</v>
      </c>
      <c r="D478" s="661"/>
      <c r="E478" s="644">
        <v>0</v>
      </c>
      <c r="F478" s="662"/>
      <c r="G478" s="662"/>
      <c r="H478" s="662"/>
      <c r="I478" s="646"/>
      <c r="J478" s="646"/>
      <c r="K478" s="646"/>
      <c r="L478" s="646">
        <f t="shared" si="32"/>
        <v>0</v>
      </c>
      <c r="M478" s="663">
        <f t="shared" si="34"/>
        <v>0</v>
      </c>
      <c r="N478" s="672"/>
      <c r="O478" s="701">
        <f t="shared" si="35"/>
        <v>0</v>
      </c>
      <c r="P478" s="672"/>
      <c r="Q478" s="672"/>
      <c r="R478" s="672"/>
      <c r="S478" s="672"/>
      <c r="T478" s="672"/>
      <c r="XFC478" s="674">
        <f t="shared" si="33"/>
        <v>0</v>
      </c>
      <c r="XFD478" s="678">
        <f t="shared" si="36"/>
        <v>0</v>
      </c>
    </row>
    <row r="479" spans="1:20 16383:16384" s="674" customFormat="1" hidden="1" outlineLevel="1" x14ac:dyDescent="0.2">
      <c r="A479" s="291"/>
      <c r="B479" s="291"/>
      <c r="C479" s="637">
        <v>0</v>
      </c>
      <c r="D479" s="661"/>
      <c r="E479" s="644">
        <v>0</v>
      </c>
      <c r="F479" s="662"/>
      <c r="G479" s="662"/>
      <c r="H479" s="662"/>
      <c r="I479" s="646"/>
      <c r="J479" s="646"/>
      <c r="K479" s="646"/>
      <c r="L479" s="646">
        <f t="shared" si="32"/>
        <v>0</v>
      </c>
      <c r="M479" s="663">
        <f t="shared" si="34"/>
        <v>0</v>
      </c>
      <c r="N479" s="672"/>
      <c r="O479" s="701">
        <f t="shared" si="35"/>
        <v>0</v>
      </c>
      <c r="P479" s="672"/>
      <c r="Q479" s="672"/>
      <c r="R479" s="672"/>
      <c r="S479" s="672"/>
      <c r="T479" s="672"/>
      <c r="XFC479" s="674">
        <f t="shared" si="33"/>
        <v>0</v>
      </c>
      <c r="XFD479" s="678">
        <f t="shared" si="36"/>
        <v>0</v>
      </c>
    </row>
    <row r="480" spans="1:20 16383:16384" s="674" customFormat="1" hidden="1" outlineLevel="1" x14ac:dyDescent="0.2">
      <c r="A480" s="291"/>
      <c r="B480" s="291"/>
      <c r="C480" s="637">
        <v>0</v>
      </c>
      <c r="D480" s="661"/>
      <c r="E480" s="644">
        <v>0</v>
      </c>
      <c r="F480" s="662"/>
      <c r="G480" s="662"/>
      <c r="H480" s="662"/>
      <c r="I480" s="646"/>
      <c r="J480" s="646"/>
      <c r="K480" s="646"/>
      <c r="L480" s="646">
        <f t="shared" si="32"/>
        <v>0</v>
      </c>
      <c r="M480" s="663">
        <f t="shared" si="34"/>
        <v>0</v>
      </c>
      <c r="N480" s="672"/>
      <c r="O480" s="701">
        <f t="shared" si="35"/>
        <v>0</v>
      </c>
      <c r="P480" s="672"/>
      <c r="Q480" s="672"/>
      <c r="R480" s="672"/>
      <c r="S480" s="672"/>
      <c r="T480" s="672"/>
      <c r="XFC480" s="674">
        <f t="shared" si="33"/>
        <v>0</v>
      </c>
      <c r="XFD480" s="678">
        <f t="shared" si="36"/>
        <v>0</v>
      </c>
    </row>
    <row r="481" spans="1:20 16383:16384" s="674" customFormat="1" hidden="1" outlineLevel="1" x14ac:dyDescent="0.2">
      <c r="A481" s="291"/>
      <c r="B481" s="291"/>
      <c r="C481" s="637">
        <v>0</v>
      </c>
      <c r="D481" s="661"/>
      <c r="E481" s="644">
        <v>0</v>
      </c>
      <c r="F481" s="662"/>
      <c r="G481" s="662"/>
      <c r="H481" s="662"/>
      <c r="I481" s="646"/>
      <c r="J481" s="646"/>
      <c r="K481" s="646"/>
      <c r="L481" s="646">
        <f t="shared" si="32"/>
        <v>0</v>
      </c>
      <c r="M481" s="663">
        <f t="shared" si="34"/>
        <v>0</v>
      </c>
      <c r="N481" s="672"/>
      <c r="O481" s="701">
        <f t="shared" si="35"/>
        <v>0</v>
      </c>
      <c r="P481" s="672"/>
      <c r="Q481" s="672"/>
      <c r="R481" s="672"/>
      <c r="S481" s="672"/>
      <c r="T481" s="672"/>
      <c r="XFC481" s="674">
        <f t="shared" si="33"/>
        <v>0</v>
      </c>
      <c r="XFD481" s="678">
        <f t="shared" si="36"/>
        <v>0</v>
      </c>
    </row>
    <row r="482" spans="1:20 16383:16384" s="674" customFormat="1" hidden="1" outlineLevel="1" x14ac:dyDescent="0.2">
      <c r="A482" s="291"/>
      <c r="B482" s="291"/>
      <c r="C482" s="637">
        <v>0</v>
      </c>
      <c r="D482" s="661"/>
      <c r="E482" s="644">
        <v>0</v>
      </c>
      <c r="F482" s="662"/>
      <c r="G482" s="662"/>
      <c r="H482" s="662"/>
      <c r="I482" s="646"/>
      <c r="J482" s="646"/>
      <c r="K482" s="646"/>
      <c r="L482" s="646">
        <f t="shared" si="32"/>
        <v>0</v>
      </c>
      <c r="M482" s="663">
        <f t="shared" si="34"/>
        <v>0</v>
      </c>
      <c r="N482" s="672"/>
      <c r="O482" s="701">
        <f t="shared" si="35"/>
        <v>0</v>
      </c>
      <c r="P482" s="672"/>
      <c r="Q482" s="672"/>
      <c r="R482" s="672"/>
      <c r="S482" s="672"/>
      <c r="T482" s="672"/>
      <c r="XFC482" s="674">
        <f t="shared" si="33"/>
        <v>0</v>
      </c>
      <c r="XFD482" s="678">
        <f t="shared" si="36"/>
        <v>0</v>
      </c>
    </row>
    <row r="483" spans="1:20 16383:16384" s="674" customFormat="1" hidden="1" outlineLevel="1" x14ac:dyDescent="0.2">
      <c r="A483" s="291"/>
      <c r="B483" s="291"/>
      <c r="C483" s="637">
        <v>0</v>
      </c>
      <c r="D483" s="661"/>
      <c r="E483" s="644">
        <v>0</v>
      </c>
      <c r="F483" s="662"/>
      <c r="G483" s="662"/>
      <c r="H483" s="662"/>
      <c r="I483" s="646"/>
      <c r="J483" s="646"/>
      <c r="K483" s="646"/>
      <c r="L483" s="646">
        <f t="shared" si="32"/>
        <v>0</v>
      </c>
      <c r="M483" s="663">
        <f t="shared" si="34"/>
        <v>0</v>
      </c>
      <c r="N483" s="672"/>
      <c r="O483" s="701">
        <f t="shared" si="35"/>
        <v>0</v>
      </c>
      <c r="P483" s="672"/>
      <c r="Q483" s="672"/>
      <c r="R483" s="672"/>
      <c r="S483" s="672"/>
      <c r="T483" s="672"/>
      <c r="XFC483" s="674">
        <f t="shared" si="33"/>
        <v>0</v>
      </c>
      <c r="XFD483" s="678">
        <f t="shared" si="36"/>
        <v>0</v>
      </c>
    </row>
    <row r="484" spans="1:20 16383:16384" s="674" customFormat="1" hidden="1" outlineLevel="1" x14ac:dyDescent="0.2">
      <c r="A484" s="291"/>
      <c r="B484" s="291"/>
      <c r="C484" s="637">
        <v>0</v>
      </c>
      <c r="D484" s="661"/>
      <c r="E484" s="644">
        <v>0</v>
      </c>
      <c r="F484" s="662"/>
      <c r="G484" s="662"/>
      <c r="H484" s="662"/>
      <c r="I484" s="646"/>
      <c r="J484" s="646"/>
      <c r="K484" s="646"/>
      <c r="L484" s="646">
        <f t="shared" si="32"/>
        <v>0</v>
      </c>
      <c r="M484" s="663">
        <f t="shared" si="34"/>
        <v>0</v>
      </c>
      <c r="N484" s="672"/>
      <c r="O484" s="701">
        <f t="shared" si="35"/>
        <v>0</v>
      </c>
      <c r="P484" s="672"/>
      <c r="Q484" s="672"/>
      <c r="R484" s="672"/>
      <c r="S484" s="672"/>
      <c r="T484" s="672"/>
      <c r="XFC484" s="674">
        <f t="shared" si="33"/>
        <v>0</v>
      </c>
      <c r="XFD484" s="678">
        <f t="shared" si="36"/>
        <v>0</v>
      </c>
    </row>
    <row r="485" spans="1:20 16383:16384" s="674" customFormat="1" hidden="1" outlineLevel="1" x14ac:dyDescent="0.2">
      <c r="A485" s="291"/>
      <c r="B485" s="291"/>
      <c r="C485" s="637">
        <v>0</v>
      </c>
      <c r="D485" s="661"/>
      <c r="E485" s="644">
        <v>0</v>
      </c>
      <c r="F485" s="662"/>
      <c r="G485" s="662"/>
      <c r="H485" s="662"/>
      <c r="I485" s="646"/>
      <c r="J485" s="646"/>
      <c r="K485" s="646"/>
      <c r="L485" s="646">
        <f t="shared" si="32"/>
        <v>0</v>
      </c>
      <c r="M485" s="663">
        <f t="shared" si="34"/>
        <v>0</v>
      </c>
      <c r="N485" s="672"/>
      <c r="O485" s="701">
        <f t="shared" si="35"/>
        <v>0</v>
      </c>
      <c r="P485" s="672"/>
      <c r="Q485" s="672"/>
      <c r="R485" s="672"/>
      <c r="S485" s="672"/>
      <c r="T485" s="672"/>
      <c r="XFC485" s="674">
        <f t="shared" si="33"/>
        <v>0</v>
      </c>
      <c r="XFD485" s="678">
        <f t="shared" si="36"/>
        <v>0</v>
      </c>
    </row>
    <row r="486" spans="1:20 16383:16384" s="674" customFormat="1" hidden="1" outlineLevel="1" x14ac:dyDescent="0.2">
      <c r="A486" s="291"/>
      <c r="B486" s="291"/>
      <c r="C486" s="637">
        <v>0</v>
      </c>
      <c r="D486" s="661"/>
      <c r="E486" s="644">
        <v>0</v>
      </c>
      <c r="F486" s="662"/>
      <c r="G486" s="662"/>
      <c r="H486" s="662"/>
      <c r="I486" s="646"/>
      <c r="J486" s="646"/>
      <c r="K486" s="646"/>
      <c r="L486" s="646">
        <f t="shared" si="32"/>
        <v>0</v>
      </c>
      <c r="M486" s="663">
        <f t="shared" si="34"/>
        <v>0</v>
      </c>
      <c r="N486" s="672"/>
      <c r="O486" s="701">
        <f t="shared" si="35"/>
        <v>0</v>
      </c>
      <c r="P486" s="672"/>
      <c r="Q486" s="672"/>
      <c r="R486" s="672"/>
      <c r="S486" s="672"/>
      <c r="T486" s="672"/>
      <c r="XFC486" s="674">
        <f t="shared" si="33"/>
        <v>0</v>
      </c>
      <c r="XFD486" s="678">
        <f t="shared" si="36"/>
        <v>0</v>
      </c>
    </row>
    <row r="487" spans="1:20 16383:16384" s="674" customFormat="1" hidden="1" outlineLevel="1" x14ac:dyDescent="0.2">
      <c r="A487" s="291"/>
      <c r="B487" s="291"/>
      <c r="C487" s="637">
        <v>0</v>
      </c>
      <c r="D487" s="661"/>
      <c r="E487" s="644">
        <v>0</v>
      </c>
      <c r="F487" s="662"/>
      <c r="G487" s="662"/>
      <c r="H487" s="662"/>
      <c r="I487" s="646"/>
      <c r="J487" s="646"/>
      <c r="K487" s="646"/>
      <c r="L487" s="646">
        <f t="shared" si="32"/>
        <v>0</v>
      </c>
      <c r="M487" s="663">
        <f t="shared" si="34"/>
        <v>0</v>
      </c>
      <c r="N487" s="672"/>
      <c r="O487" s="701">
        <f t="shared" si="35"/>
        <v>0</v>
      </c>
      <c r="P487" s="672"/>
      <c r="Q487" s="672"/>
      <c r="R487" s="672"/>
      <c r="S487" s="672"/>
      <c r="T487" s="672"/>
      <c r="XFC487" s="674">
        <f t="shared" si="33"/>
        <v>0</v>
      </c>
      <c r="XFD487" s="678">
        <f t="shared" si="36"/>
        <v>0</v>
      </c>
    </row>
    <row r="488" spans="1:20 16383:16384" s="674" customFormat="1" hidden="1" outlineLevel="1" x14ac:dyDescent="0.2">
      <c r="A488" s="291"/>
      <c r="B488" s="291"/>
      <c r="C488" s="637">
        <v>0</v>
      </c>
      <c r="D488" s="661"/>
      <c r="E488" s="644">
        <v>0</v>
      </c>
      <c r="F488" s="662"/>
      <c r="G488" s="662"/>
      <c r="H488" s="662"/>
      <c r="I488" s="646"/>
      <c r="J488" s="646"/>
      <c r="K488" s="646"/>
      <c r="L488" s="646">
        <f t="shared" si="32"/>
        <v>0</v>
      </c>
      <c r="M488" s="663">
        <f t="shared" si="34"/>
        <v>0</v>
      </c>
      <c r="N488" s="672"/>
      <c r="O488" s="701">
        <f t="shared" si="35"/>
        <v>0</v>
      </c>
      <c r="P488" s="672"/>
      <c r="Q488" s="672"/>
      <c r="R488" s="672"/>
      <c r="S488" s="672"/>
      <c r="T488" s="672"/>
      <c r="XFC488" s="674">
        <f t="shared" si="33"/>
        <v>0</v>
      </c>
      <c r="XFD488" s="678">
        <f t="shared" si="36"/>
        <v>0</v>
      </c>
    </row>
    <row r="489" spans="1:20 16383:16384" s="674" customFormat="1" hidden="1" outlineLevel="1" x14ac:dyDescent="0.2">
      <c r="A489" s="291"/>
      <c r="B489" s="291"/>
      <c r="C489" s="637">
        <v>0</v>
      </c>
      <c r="D489" s="661"/>
      <c r="E489" s="644">
        <v>0</v>
      </c>
      <c r="F489" s="662"/>
      <c r="G489" s="662"/>
      <c r="H489" s="662"/>
      <c r="I489" s="646"/>
      <c r="J489" s="646"/>
      <c r="K489" s="646"/>
      <c r="L489" s="646">
        <f t="shared" ref="L489:L507" si="37">IF(L488="","",L488)</f>
        <v>0</v>
      </c>
      <c r="M489" s="663">
        <f t="shared" si="34"/>
        <v>0</v>
      </c>
      <c r="N489" s="672"/>
      <c r="O489" s="701">
        <f t="shared" si="35"/>
        <v>0</v>
      </c>
      <c r="P489" s="672"/>
      <c r="Q489" s="672"/>
      <c r="R489" s="672"/>
      <c r="S489" s="672"/>
      <c r="T489" s="672"/>
      <c r="XFC489" s="674">
        <f t="shared" si="33"/>
        <v>0</v>
      </c>
      <c r="XFD489" s="678">
        <f t="shared" si="36"/>
        <v>0</v>
      </c>
    </row>
    <row r="490" spans="1:20 16383:16384" s="674" customFormat="1" hidden="1" outlineLevel="1" x14ac:dyDescent="0.2">
      <c r="A490" s="291"/>
      <c r="B490" s="291"/>
      <c r="C490" s="637">
        <v>0</v>
      </c>
      <c r="D490" s="661"/>
      <c r="E490" s="644">
        <v>0</v>
      </c>
      <c r="F490" s="662"/>
      <c r="G490" s="662"/>
      <c r="H490" s="662"/>
      <c r="I490" s="646"/>
      <c r="J490" s="646"/>
      <c r="K490" s="646"/>
      <c r="L490" s="646">
        <f t="shared" si="37"/>
        <v>0</v>
      </c>
      <c r="M490" s="663">
        <f t="shared" si="34"/>
        <v>0</v>
      </c>
      <c r="N490" s="672"/>
      <c r="O490" s="701">
        <f t="shared" si="35"/>
        <v>0</v>
      </c>
      <c r="P490" s="672"/>
      <c r="Q490" s="672"/>
      <c r="R490" s="672"/>
      <c r="S490" s="672"/>
      <c r="T490" s="672"/>
      <c r="XFC490" s="674">
        <f t="shared" si="33"/>
        <v>0</v>
      </c>
      <c r="XFD490" s="678">
        <f t="shared" si="36"/>
        <v>0</v>
      </c>
    </row>
    <row r="491" spans="1:20 16383:16384" s="674" customFormat="1" hidden="1" outlineLevel="1" x14ac:dyDescent="0.2">
      <c r="A491" s="291"/>
      <c r="B491" s="291"/>
      <c r="C491" s="637">
        <v>0</v>
      </c>
      <c r="D491" s="661"/>
      <c r="E491" s="644">
        <v>0</v>
      </c>
      <c r="F491" s="662"/>
      <c r="G491" s="662"/>
      <c r="H491" s="662"/>
      <c r="I491" s="646"/>
      <c r="J491" s="646"/>
      <c r="K491" s="646"/>
      <c r="L491" s="646">
        <f t="shared" si="37"/>
        <v>0</v>
      </c>
      <c r="M491" s="663">
        <f t="shared" si="34"/>
        <v>0</v>
      </c>
      <c r="N491" s="672"/>
      <c r="O491" s="701">
        <f t="shared" si="35"/>
        <v>0</v>
      </c>
      <c r="P491" s="672"/>
      <c r="Q491" s="672"/>
      <c r="R491" s="672"/>
      <c r="S491" s="672"/>
      <c r="T491" s="672"/>
      <c r="XFC491" s="674">
        <f t="shared" si="33"/>
        <v>0</v>
      </c>
      <c r="XFD491" s="678">
        <f t="shared" si="36"/>
        <v>0</v>
      </c>
    </row>
    <row r="492" spans="1:20 16383:16384" s="674" customFormat="1" hidden="1" outlineLevel="1" x14ac:dyDescent="0.2">
      <c r="A492" s="291"/>
      <c r="B492" s="291"/>
      <c r="C492" s="637">
        <v>0</v>
      </c>
      <c r="D492" s="661"/>
      <c r="E492" s="644">
        <v>0</v>
      </c>
      <c r="F492" s="662"/>
      <c r="G492" s="662"/>
      <c r="H492" s="662"/>
      <c r="I492" s="646"/>
      <c r="J492" s="646"/>
      <c r="K492" s="646"/>
      <c r="L492" s="646">
        <f t="shared" si="37"/>
        <v>0</v>
      </c>
      <c r="M492" s="663">
        <f t="shared" si="34"/>
        <v>0</v>
      </c>
      <c r="N492" s="672"/>
      <c r="O492" s="701">
        <f t="shared" si="35"/>
        <v>0</v>
      </c>
      <c r="P492" s="672"/>
      <c r="Q492" s="672"/>
      <c r="R492" s="672"/>
      <c r="S492" s="672"/>
      <c r="T492" s="672"/>
      <c r="XFC492" s="674">
        <f t="shared" si="33"/>
        <v>0</v>
      </c>
      <c r="XFD492" s="678">
        <f t="shared" si="36"/>
        <v>0</v>
      </c>
    </row>
    <row r="493" spans="1:20 16383:16384" s="674" customFormat="1" hidden="1" outlineLevel="1" x14ac:dyDescent="0.2">
      <c r="A493" s="291"/>
      <c r="B493" s="291"/>
      <c r="C493" s="637">
        <v>0</v>
      </c>
      <c r="D493" s="661"/>
      <c r="E493" s="644">
        <v>0</v>
      </c>
      <c r="F493" s="662"/>
      <c r="G493" s="662"/>
      <c r="H493" s="662"/>
      <c r="I493" s="646"/>
      <c r="J493" s="646"/>
      <c r="K493" s="646"/>
      <c r="L493" s="646">
        <f t="shared" si="37"/>
        <v>0</v>
      </c>
      <c r="M493" s="663">
        <f t="shared" si="34"/>
        <v>0</v>
      </c>
      <c r="N493" s="672"/>
      <c r="O493" s="701">
        <f t="shared" si="35"/>
        <v>0</v>
      </c>
      <c r="P493" s="672"/>
      <c r="Q493" s="672"/>
      <c r="R493" s="672"/>
      <c r="S493" s="672"/>
      <c r="T493" s="672"/>
      <c r="XFC493" s="674">
        <f t="shared" si="33"/>
        <v>0</v>
      </c>
      <c r="XFD493" s="678">
        <f t="shared" si="36"/>
        <v>0</v>
      </c>
    </row>
    <row r="494" spans="1:20 16383:16384" s="674" customFormat="1" hidden="1" outlineLevel="1" x14ac:dyDescent="0.2">
      <c r="A494" s="291"/>
      <c r="B494" s="291"/>
      <c r="C494" s="637">
        <v>0</v>
      </c>
      <c r="D494" s="661"/>
      <c r="E494" s="644">
        <v>0</v>
      </c>
      <c r="F494" s="662"/>
      <c r="G494" s="662"/>
      <c r="H494" s="662"/>
      <c r="I494" s="646"/>
      <c r="J494" s="646"/>
      <c r="K494" s="646"/>
      <c r="L494" s="646">
        <f t="shared" si="37"/>
        <v>0</v>
      </c>
      <c r="M494" s="663">
        <f t="shared" si="34"/>
        <v>0</v>
      </c>
      <c r="N494" s="672"/>
      <c r="O494" s="701">
        <f t="shared" si="35"/>
        <v>0</v>
      </c>
      <c r="P494" s="672"/>
      <c r="Q494" s="672"/>
      <c r="R494" s="672"/>
      <c r="S494" s="672"/>
      <c r="T494" s="672"/>
      <c r="XFC494" s="674">
        <f t="shared" si="33"/>
        <v>0</v>
      </c>
      <c r="XFD494" s="678">
        <f t="shared" si="36"/>
        <v>0</v>
      </c>
    </row>
    <row r="495" spans="1:20 16383:16384" s="674" customFormat="1" hidden="1" outlineLevel="1" x14ac:dyDescent="0.2">
      <c r="A495" s="291"/>
      <c r="B495" s="291"/>
      <c r="C495" s="637">
        <v>0</v>
      </c>
      <c r="D495" s="661"/>
      <c r="E495" s="644">
        <v>0</v>
      </c>
      <c r="F495" s="662"/>
      <c r="G495" s="662"/>
      <c r="H495" s="662"/>
      <c r="I495" s="646"/>
      <c r="J495" s="646"/>
      <c r="K495" s="646"/>
      <c r="L495" s="646">
        <f t="shared" si="37"/>
        <v>0</v>
      </c>
      <c r="M495" s="663">
        <f t="shared" si="34"/>
        <v>0</v>
      </c>
      <c r="N495" s="672"/>
      <c r="O495" s="701">
        <f t="shared" si="35"/>
        <v>0</v>
      </c>
      <c r="P495" s="672"/>
      <c r="Q495" s="672"/>
      <c r="R495" s="672"/>
      <c r="S495" s="672"/>
      <c r="T495" s="672"/>
      <c r="XFC495" s="674">
        <f t="shared" si="33"/>
        <v>0</v>
      </c>
      <c r="XFD495" s="678">
        <f t="shared" si="36"/>
        <v>0</v>
      </c>
    </row>
    <row r="496" spans="1:20 16383:16384" s="674" customFormat="1" hidden="1" outlineLevel="1" x14ac:dyDescent="0.2">
      <c r="A496" s="291"/>
      <c r="B496" s="291"/>
      <c r="C496" s="637">
        <v>0</v>
      </c>
      <c r="D496" s="661"/>
      <c r="E496" s="644">
        <v>0</v>
      </c>
      <c r="F496" s="662"/>
      <c r="G496" s="662"/>
      <c r="H496" s="662"/>
      <c r="I496" s="646"/>
      <c r="J496" s="646"/>
      <c r="K496" s="646"/>
      <c r="L496" s="646">
        <f t="shared" si="37"/>
        <v>0</v>
      </c>
      <c r="M496" s="663">
        <f t="shared" si="34"/>
        <v>0</v>
      </c>
      <c r="N496" s="672"/>
      <c r="O496" s="701">
        <f t="shared" si="35"/>
        <v>0</v>
      </c>
      <c r="P496" s="672"/>
      <c r="Q496" s="672"/>
      <c r="R496" s="672"/>
      <c r="S496" s="672"/>
      <c r="T496" s="672"/>
      <c r="XFC496" s="674">
        <f t="shared" si="33"/>
        <v>0</v>
      </c>
      <c r="XFD496" s="678">
        <f t="shared" si="36"/>
        <v>0</v>
      </c>
    </row>
    <row r="497" spans="1:20 16383:16384" s="674" customFormat="1" hidden="1" outlineLevel="1" x14ac:dyDescent="0.2">
      <c r="A497" s="291"/>
      <c r="B497" s="291"/>
      <c r="C497" s="637">
        <v>0</v>
      </c>
      <c r="D497" s="661"/>
      <c r="E497" s="644">
        <v>0</v>
      </c>
      <c r="F497" s="662"/>
      <c r="G497" s="662"/>
      <c r="H497" s="662"/>
      <c r="I497" s="646"/>
      <c r="J497" s="646"/>
      <c r="K497" s="646"/>
      <c r="L497" s="646">
        <f t="shared" si="37"/>
        <v>0</v>
      </c>
      <c r="M497" s="663">
        <f t="shared" si="34"/>
        <v>0</v>
      </c>
      <c r="N497" s="672"/>
      <c r="O497" s="701">
        <f t="shared" si="35"/>
        <v>0</v>
      </c>
      <c r="P497" s="672"/>
      <c r="Q497" s="672"/>
      <c r="R497" s="672"/>
      <c r="S497" s="672"/>
      <c r="T497" s="672"/>
      <c r="XFC497" s="674">
        <f t="shared" si="33"/>
        <v>0</v>
      </c>
      <c r="XFD497" s="678">
        <f t="shared" si="36"/>
        <v>0</v>
      </c>
    </row>
    <row r="498" spans="1:20 16383:16384" s="674" customFormat="1" hidden="1" outlineLevel="1" x14ac:dyDescent="0.2">
      <c r="A498" s="291"/>
      <c r="B498" s="291"/>
      <c r="C498" s="637">
        <v>0</v>
      </c>
      <c r="D498" s="661"/>
      <c r="E498" s="644">
        <v>0</v>
      </c>
      <c r="F498" s="662"/>
      <c r="G498" s="662"/>
      <c r="H498" s="662"/>
      <c r="I498" s="646"/>
      <c r="J498" s="646"/>
      <c r="K498" s="646"/>
      <c r="L498" s="646">
        <f t="shared" si="37"/>
        <v>0</v>
      </c>
      <c r="M498" s="663">
        <f t="shared" si="34"/>
        <v>0</v>
      </c>
      <c r="N498" s="672"/>
      <c r="O498" s="701">
        <f t="shared" si="35"/>
        <v>0</v>
      </c>
      <c r="P498" s="672"/>
      <c r="Q498" s="672"/>
      <c r="R498" s="672"/>
      <c r="S498" s="672"/>
      <c r="T498" s="672"/>
      <c r="XFC498" s="674">
        <f t="shared" si="33"/>
        <v>0</v>
      </c>
      <c r="XFD498" s="678">
        <f t="shared" si="36"/>
        <v>0</v>
      </c>
    </row>
    <row r="499" spans="1:20 16383:16384" s="674" customFormat="1" hidden="1" outlineLevel="1" x14ac:dyDescent="0.2">
      <c r="A499" s="291"/>
      <c r="B499" s="291"/>
      <c r="C499" s="637">
        <v>0</v>
      </c>
      <c r="D499" s="661"/>
      <c r="E499" s="644">
        <v>0</v>
      </c>
      <c r="F499" s="662"/>
      <c r="G499" s="662"/>
      <c r="H499" s="662"/>
      <c r="I499" s="646"/>
      <c r="J499" s="646"/>
      <c r="K499" s="646"/>
      <c r="L499" s="646">
        <f t="shared" si="37"/>
        <v>0</v>
      </c>
      <c r="M499" s="663">
        <f t="shared" si="34"/>
        <v>0</v>
      </c>
      <c r="N499" s="672"/>
      <c r="O499" s="701">
        <f t="shared" si="35"/>
        <v>0</v>
      </c>
      <c r="P499" s="672"/>
      <c r="Q499" s="672"/>
      <c r="R499" s="672"/>
      <c r="S499" s="672"/>
      <c r="T499" s="672"/>
      <c r="XFC499" s="674">
        <f t="shared" si="33"/>
        <v>0</v>
      </c>
      <c r="XFD499" s="678">
        <f t="shared" si="36"/>
        <v>0</v>
      </c>
    </row>
    <row r="500" spans="1:20 16383:16384" s="674" customFormat="1" hidden="1" outlineLevel="1" x14ac:dyDescent="0.2">
      <c r="A500" s="291"/>
      <c r="B500" s="291"/>
      <c r="C500" s="637">
        <v>0</v>
      </c>
      <c r="D500" s="661"/>
      <c r="E500" s="644">
        <v>0</v>
      </c>
      <c r="F500" s="662"/>
      <c r="G500" s="662"/>
      <c r="H500" s="662"/>
      <c r="I500" s="646"/>
      <c r="J500" s="646"/>
      <c r="K500" s="646"/>
      <c r="L500" s="646">
        <f t="shared" si="37"/>
        <v>0</v>
      </c>
      <c r="M500" s="663">
        <f t="shared" si="34"/>
        <v>0</v>
      </c>
      <c r="N500" s="672"/>
      <c r="O500" s="701">
        <f t="shared" si="35"/>
        <v>0</v>
      </c>
      <c r="P500" s="672"/>
      <c r="Q500" s="672"/>
      <c r="R500" s="672"/>
      <c r="S500" s="672"/>
      <c r="T500" s="672"/>
      <c r="XFC500" s="674">
        <f t="shared" si="33"/>
        <v>0</v>
      </c>
      <c r="XFD500" s="678">
        <f t="shared" si="36"/>
        <v>0</v>
      </c>
    </row>
    <row r="501" spans="1:20 16383:16384" s="674" customFormat="1" hidden="1" outlineLevel="1" x14ac:dyDescent="0.2">
      <c r="A501" s="291"/>
      <c r="B501" s="291"/>
      <c r="C501" s="637">
        <v>0</v>
      </c>
      <c r="D501" s="661"/>
      <c r="E501" s="644">
        <v>0</v>
      </c>
      <c r="F501" s="662"/>
      <c r="G501" s="662"/>
      <c r="H501" s="662"/>
      <c r="I501" s="646"/>
      <c r="J501" s="646"/>
      <c r="K501" s="646"/>
      <c r="L501" s="646">
        <f t="shared" si="37"/>
        <v>0</v>
      </c>
      <c r="M501" s="663">
        <f t="shared" si="34"/>
        <v>0</v>
      </c>
      <c r="N501" s="672"/>
      <c r="O501" s="701">
        <f t="shared" si="35"/>
        <v>0</v>
      </c>
      <c r="P501" s="672"/>
      <c r="Q501" s="672"/>
      <c r="R501" s="672"/>
      <c r="S501" s="672"/>
      <c r="T501" s="672"/>
      <c r="XFC501" s="674">
        <f t="shared" si="33"/>
        <v>0</v>
      </c>
      <c r="XFD501" s="678">
        <f t="shared" si="36"/>
        <v>0</v>
      </c>
    </row>
    <row r="502" spans="1:20 16383:16384" s="674" customFormat="1" hidden="1" outlineLevel="1" x14ac:dyDescent="0.2">
      <c r="A502" s="291"/>
      <c r="B502" s="291"/>
      <c r="C502" s="637">
        <v>0</v>
      </c>
      <c r="D502" s="661"/>
      <c r="E502" s="644">
        <v>0</v>
      </c>
      <c r="F502" s="662"/>
      <c r="G502" s="662"/>
      <c r="H502" s="662"/>
      <c r="I502" s="646"/>
      <c r="J502" s="646"/>
      <c r="K502" s="646"/>
      <c r="L502" s="646">
        <f t="shared" si="37"/>
        <v>0</v>
      </c>
      <c r="M502" s="663">
        <f t="shared" si="34"/>
        <v>0</v>
      </c>
      <c r="N502" s="672"/>
      <c r="O502" s="701">
        <f t="shared" si="35"/>
        <v>0</v>
      </c>
      <c r="P502" s="672"/>
      <c r="Q502" s="672"/>
      <c r="R502" s="672"/>
      <c r="S502" s="672"/>
      <c r="T502" s="672"/>
      <c r="XFC502" s="674">
        <f t="shared" si="33"/>
        <v>0</v>
      </c>
      <c r="XFD502" s="678">
        <f t="shared" si="36"/>
        <v>0</v>
      </c>
    </row>
    <row r="503" spans="1:20 16383:16384" s="674" customFormat="1" hidden="1" outlineLevel="1" x14ac:dyDescent="0.2">
      <c r="A503" s="291"/>
      <c r="B503" s="291"/>
      <c r="C503" s="637">
        <v>0</v>
      </c>
      <c r="D503" s="661"/>
      <c r="E503" s="644">
        <v>0</v>
      </c>
      <c r="F503" s="662"/>
      <c r="G503" s="662"/>
      <c r="H503" s="662"/>
      <c r="I503" s="646"/>
      <c r="J503" s="646"/>
      <c r="K503" s="646"/>
      <c r="L503" s="646">
        <f t="shared" si="37"/>
        <v>0</v>
      </c>
      <c r="M503" s="663">
        <f t="shared" si="34"/>
        <v>0</v>
      </c>
      <c r="N503" s="672"/>
      <c r="O503" s="701">
        <f t="shared" si="35"/>
        <v>0</v>
      </c>
      <c r="P503" s="672"/>
      <c r="Q503" s="672"/>
      <c r="R503" s="672"/>
      <c r="S503" s="672"/>
      <c r="T503" s="672"/>
      <c r="XFC503" s="674">
        <f t="shared" si="33"/>
        <v>0</v>
      </c>
      <c r="XFD503" s="678">
        <f t="shared" si="36"/>
        <v>0</v>
      </c>
    </row>
    <row r="504" spans="1:20 16383:16384" s="674" customFormat="1" collapsed="1" x14ac:dyDescent="0.2">
      <c r="A504" s="291"/>
      <c r="B504" s="291"/>
      <c r="C504" s="637">
        <v>0</v>
      </c>
      <c r="D504" s="661"/>
      <c r="E504" s="644">
        <v>0</v>
      </c>
      <c r="F504" s="662"/>
      <c r="G504" s="662"/>
      <c r="H504" s="662"/>
      <c r="I504" s="646"/>
      <c r="J504" s="646"/>
      <c r="K504" s="646"/>
      <c r="L504" s="646">
        <f t="shared" si="37"/>
        <v>0</v>
      </c>
      <c r="M504" s="663">
        <f t="shared" si="34"/>
        <v>0</v>
      </c>
      <c r="N504" s="672"/>
      <c r="O504" s="701">
        <f t="shared" si="35"/>
        <v>0</v>
      </c>
      <c r="P504" s="672"/>
      <c r="Q504" s="672"/>
      <c r="R504" s="672"/>
      <c r="S504" s="672"/>
      <c r="T504" s="672"/>
      <c r="XFC504" s="674">
        <f t="shared" si="33"/>
        <v>0</v>
      </c>
      <c r="XFD504" s="678">
        <f t="shared" si="36"/>
        <v>0</v>
      </c>
    </row>
    <row r="505" spans="1:20 16383:16384" s="674" customFormat="1" x14ac:dyDescent="0.2">
      <c r="A505" s="291"/>
      <c r="B505" s="291"/>
      <c r="C505" s="637">
        <v>0</v>
      </c>
      <c r="D505" s="661"/>
      <c r="E505" s="644">
        <v>0</v>
      </c>
      <c r="F505" s="662"/>
      <c r="G505" s="662"/>
      <c r="H505" s="662"/>
      <c r="I505" s="646"/>
      <c r="J505" s="646"/>
      <c r="K505" s="646"/>
      <c r="L505" s="646">
        <f t="shared" si="37"/>
        <v>0</v>
      </c>
      <c r="M505" s="663">
        <f t="shared" si="34"/>
        <v>0</v>
      </c>
      <c r="N505" s="672"/>
      <c r="O505" s="701">
        <f t="shared" si="35"/>
        <v>0</v>
      </c>
      <c r="P505" s="672"/>
      <c r="Q505" s="672"/>
      <c r="R505" s="672"/>
      <c r="S505" s="672"/>
      <c r="T505" s="672"/>
      <c r="XFC505" s="674">
        <f t="shared" si="33"/>
        <v>0</v>
      </c>
      <c r="XFD505" s="678">
        <f t="shared" si="36"/>
        <v>0</v>
      </c>
    </row>
    <row r="506" spans="1:20 16383:16384" s="674" customFormat="1" x14ac:dyDescent="0.2">
      <c r="A506" s="291"/>
      <c r="B506" s="291"/>
      <c r="C506" s="637">
        <v>0</v>
      </c>
      <c r="D506" s="661"/>
      <c r="E506" s="644">
        <v>0</v>
      </c>
      <c r="F506" s="662"/>
      <c r="G506" s="662"/>
      <c r="H506" s="662"/>
      <c r="I506" s="646"/>
      <c r="J506" s="646"/>
      <c r="K506" s="646"/>
      <c r="L506" s="646">
        <f t="shared" si="37"/>
        <v>0</v>
      </c>
      <c r="M506" s="663">
        <f t="shared" si="34"/>
        <v>0</v>
      </c>
      <c r="N506" s="672"/>
      <c r="O506" s="701">
        <f t="shared" si="35"/>
        <v>0</v>
      </c>
      <c r="P506" s="672"/>
      <c r="Q506" s="672"/>
      <c r="R506" s="672"/>
      <c r="S506" s="672"/>
      <c r="T506" s="672"/>
      <c r="XFC506" s="674">
        <f t="shared" si="33"/>
        <v>0</v>
      </c>
      <c r="XFD506" s="678">
        <f t="shared" si="36"/>
        <v>0</v>
      </c>
    </row>
    <row r="507" spans="1:20 16383:16384" s="674" customFormat="1" ht="13.5" thickBot="1" x14ac:dyDescent="0.25">
      <c r="A507" s="291"/>
      <c r="B507" s="291"/>
      <c r="C507" s="637">
        <v>0</v>
      </c>
      <c r="D507" s="664"/>
      <c r="E507" s="650">
        <v>0</v>
      </c>
      <c r="F507" s="665"/>
      <c r="G507" s="665"/>
      <c r="H507" s="665"/>
      <c r="I507" s="648"/>
      <c r="J507" s="648"/>
      <c r="K507" s="648"/>
      <c r="L507" s="646">
        <f t="shared" si="37"/>
        <v>0</v>
      </c>
      <c r="M507" s="666">
        <f>+J507-K507</f>
        <v>0</v>
      </c>
      <c r="N507" s="672"/>
      <c r="O507" s="701">
        <f t="shared" si="35"/>
        <v>0</v>
      </c>
      <c r="P507" s="672"/>
      <c r="Q507" s="672"/>
      <c r="R507" s="672"/>
      <c r="S507" s="672"/>
      <c r="T507" s="672"/>
      <c r="XFC507" s="674">
        <f t="shared" si="33"/>
        <v>0</v>
      </c>
      <c r="XFD507" s="678">
        <f t="shared" si="36"/>
        <v>0</v>
      </c>
    </row>
    <row r="508" spans="1:20 16383:16384" s="674" customFormat="1" ht="13.5" thickBot="1" x14ac:dyDescent="0.25">
      <c r="A508" s="291"/>
      <c r="B508" s="291"/>
      <c r="C508" s="291"/>
      <c r="D508" s="667"/>
      <c r="E508" s="668"/>
      <c r="F508" s="668"/>
      <c r="G508" s="668"/>
      <c r="H508" s="669" t="s">
        <v>1317</v>
      </c>
      <c r="I508" s="670"/>
      <c r="J508" s="670">
        <f>SUM(J83:J507)</f>
        <v>314075</v>
      </c>
      <c r="K508" s="670">
        <f>SUM(K83:K507)</f>
        <v>310000</v>
      </c>
      <c r="L508" s="670"/>
      <c r="M508" s="670">
        <f>SUM(M83:M507)</f>
        <v>4075</v>
      </c>
      <c r="N508" s="672"/>
      <c r="O508" s="672"/>
      <c r="P508" s="672"/>
      <c r="Q508" s="672"/>
      <c r="R508" s="672"/>
      <c r="S508" s="672"/>
      <c r="T508" s="672"/>
      <c r="XFC508" s="674">
        <f>SUM(XFC12:XFC507)</f>
        <v>0</v>
      </c>
      <c r="XFD508" s="672"/>
    </row>
    <row r="509" spans="1:20 16383:16384" s="674" customFormat="1" x14ac:dyDescent="0.2">
      <c r="A509" s="291"/>
      <c r="B509" s="291"/>
      <c r="C509" s="291"/>
      <c r="D509" s="291"/>
      <c r="E509" s="291"/>
      <c r="F509" s="291"/>
      <c r="G509" s="291"/>
      <c r="H509" s="291"/>
      <c r="I509" s="291"/>
      <c r="J509" s="291"/>
      <c r="K509" s="291"/>
      <c r="L509" s="291"/>
      <c r="M509" s="291"/>
      <c r="N509" s="672"/>
      <c r="O509" s="672"/>
      <c r="P509" s="672"/>
      <c r="Q509" s="672"/>
      <c r="R509" s="672"/>
      <c r="S509" s="672"/>
      <c r="T509" s="672"/>
      <c r="XFC509" s="673"/>
      <c r="XFD509" s="672"/>
    </row>
    <row r="510" spans="1:20 16383:16384" s="679" customFormat="1" x14ac:dyDescent="0.2">
      <c r="A510" s="629"/>
      <c r="B510" s="629"/>
      <c r="C510" s="629"/>
      <c r="D510" s="629"/>
      <c r="E510" s="629"/>
      <c r="F510" s="629"/>
      <c r="G510" s="629"/>
      <c r="H510" s="629"/>
      <c r="I510" s="629"/>
      <c r="J510" s="629"/>
      <c r="K510" s="629"/>
      <c r="L510" s="629"/>
      <c r="M510" s="629"/>
      <c r="N510" s="672"/>
      <c r="O510" s="672"/>
      <c r="P510" s="672"/>
      <c r="Q510" s="672"/>
      <c r="R510" s="672"/>
      <c r="S510" s="672"/>
      <c r="T510" s="672"/>
      <c r="XFC510" s="672"/>
      <c r="XFD510" s="672"/>
    </row>
    <row r="511" spans="1:20 16383:16384" s="679" customFormat="1" x14ac:dyDescent="0.2">
      <c r="A511" s="629"/>
      <c r="B511" s="629"/>
      <c r="C511" s="629"/>
      <c r="D511" s="629"/>
      <c r="E511" s="629"/>
      <c r="F511" s="629"/>
      <c r="G511" s="629"/>
      <c r="H511" s="629"/>
      <c r="I511" s="629"/>
      <c r="J511" s="629"/>
      <c r="K511" s="629"/>
      <c r="L511" s="629"/>
      <c r="M511" s="629"/>
      <c r="N511" s="672"/>
      <c r="O511" s="672"/>
      <c r="P511" s="672"/>
      <c r="Q511" s="672"/>
      <c r="R511" s="672"/>
      <c r="S511" s="672"/>
      <c r="T511" s="672"/>
      <c r="XFC511" s="672"/>
      <c r="XFD511" s="672"/>
    </row>
    <row r="512" spans="1:20 16383:16384" s="679" customFormat="1" x14ac:dyDescent="0.2">
      <c r="A512" s="629"/>
      <c r="B512" s="629"/>
      <c r="C512" s="629"/>
      <c r="D512" s="629"/>
      <c r="E512" s="629"/>
      <c r="F512" s="629"/>
      <c r="G512" s="629"/>
      <c r="H512" s="629"/>
      <c r="I512" s="629"/>
      <c r="J512" s="629"/>
      <c r="K512" s="629"/>
      <c r="L512" s="629"/>
      <c r="M512" s="629"/>
      <c r="N512" s="672"/>
      <c r="O512" s="672"/>
      <c r="P512" s="672"/>
      <c r="Q512" s="672"/>
      <c r="R512" s="672"/>
      <c r="S512" s="672"/>
      <c r="T512" s="672"/>
      <c r="XFC512" s="672"/>
      <c r="XFD512" s="672"/>
    </row>
    <row r="513" spans="1:20 16383:16384" s="679" customFormat="1" x14ac:dyDescent="0.2">
      <c r="A513" s="629"/>
      <c r="B513" s="629"/>
      <c r="C513" s="629"/>
      <c r="D513" s="629"/>
      <c r="E513" s="629"/>
      <c r="F513" s="629"/>
      <c r="G513" s="629"/>
      <c r="H513" s="629"/>
      <c r="I513" s="629"/>
      <c r="J513" s="629"/>
      <c r="K513" s="629"/>
      <c r="L513" s="629"/>
      <c r="M513" s="629"/>
      <c r="N513" s="672"/>
      <c r="O513" s="672"/>
      <c r="P513" s="672"/>
      <c r="Q513" s="672"/>
      <c r="R513" s="672"/>
      <c r="S513" s="672"/>
      <c r="T513" s="672"/>
      <c r="XFC513" s="672"/>
      <c r="XFD513" s="672"/>
    </row>
    <row r="514" spans="1:20 16383:16384" s="679" customFormat="1" x14ac:dyDescent="0.2">
      <c r="A514" s="629"/>
      <c r="B514" s="629"/>
      <c r="C514" s="629"/>
      <c r="D514" s="629"/>
      <c r="E514" s="629"/>
      <c r="F514" s="629"/>
      <c r="G514" s="629"/>
      <c r="H514" s="629"/>
      <c r="I514" s="629"/>
      <c r="J514" s="629"/>
      <c r="K514" s="629"/>
      <c r="L514" s="629"/>
      <c r="M514" s="629"/>
      <c r="N514" s="672"/>
      <c r="O514" s="672"/>
      <c r="P514" s="672"/>
      <c r="Q514" s="672"/>
      <c r="R514" s="672"/>
      <c r="S514" s="672"/>
      <c r="T514" s="672"/>
      <c r="XFC514" s="672"/>
      <c r="XFD514" s="672"/>
    </row>
    <row r="515" spans="1:20 16383:16384" s="679" customFormat="1" x14ac:dyDescent="0.2">
      <c r="A515" s="629"/>
      <c r="B515" s="629"/>
      <c r="C515" s="629"/>
      <c r="D515" s="629"/>
      <c r="E515" s="629"/>
      <c r="F515" s="629"/>
      <c r="G515" s="629"/>
      <c r="H515" s="629"/>
      <c r="I515" s="629"/>
      <c r="J515" s="629"/>
      <c r="K515" s="629"/>
      <c r="L515" s="629"/>
      <c r="M515" s="629"/>
      <c r="N515" s="672"/>
      <c r="O515" s="672"/>
      <c r="P515" s="672"/>
      <c r="Q515" s="672"/>
      <c r="R515" s="672"/>
      <c r="S515" s="672"/>
      <c r="T515" s="672"/>
      <c r="XFC515" s="672"/>
      <c r="XFD515" s="672"/>
    </row>
    <row r="516" spans="1:20 16383:16384" s="679" customFormat="1" x14ac:dyDescent="0.2">
      <c r="A516" s="629"/>
      <c r="B516" s="629"/>
      <c r="C516" s="629"/>
      <c r="D516" s="629"/>
      <c r="E516" s="629"/>
      <c r="F516" s="629"/>
      <c r="G516" s="629"/>
      <c r="H516" s="629"/>
      <c r="I516" s="629"/>
      <c r="J516" s="629"/>
      <c r="K516" s="629"/>
      <c r="L516" s="629"/>
      <c r="M516" s="629"/>
      <c r="N516" s="672"/>
      <c r="O516" s="672"/>
      <c r="P516" s="672"/>
      <c r="Q516" s="672"/>
      <c r="R516" s="672"/>
      <c r="S516" s="672"/>
      <c r="T516" s="672"/>
      <c r="XFC516" s="672"/>
      <c r="XFD516" s="672"/>
    </row>
    <row r="517" spans="1:20 16383:16384" s="679" customFormat="1" x14ac:dyDescent="0.2">
      <c r="A517" s="629"/>
      <c r="B517" s="629"/>
      <c r="C517" s="629"/>
      <c r="D517" s="629"/>
      <c r="E517" s="629"/>
      <c r="F517" s="629"/>
      <c r="G517" s="629"/>
      <c r="H517" s="629"/>
      <c r="I517" s="629"/>
      <c r="J517" s="629"/>
      <c r="K517" s="629"/>
      <c r="L517" s="629"/>
      <c r="M517" s="629"/>
      <c r="N517" s="672"/>
      <c r="O517" s="672"/>
      <c r="P517" s="672"/>
      <c r="Q517" s="672"/>
      <c r="R517" s="672"/>
      <c r="S517" s="672"/>
      <c r="T517" s="672"/>
      <c r="XFC517" s="672"/>
      <c r="XFD517" s="672"/>
    </row>
    <row r="518" spans="1:20 16383:16384" s="679" customFormat="1" x14ac:dyDescent="0.2">
      <c r="A518" s="629"/>
      <c r="B518" s="629"/>
      <c r="C518" s="629"/>
      <c r="D518" s="629"/>
      <c r="E518" s="629"/>
      <c r="F518" s="629"/>
      <c r="G518" s="629"/>
      <c r="H518" s="629"/>
      <c r="I518" s="629"/>
      <c r="J518" s="629"/>
      <c r="K518" s="629"/>
      <c r="L518" s="629"/>
      <c r="M518" s="629"/>
      <c r="N518" s="672"/>
      <c r="O518" s="672"/>
      <c r="P518" s="672"/>
      <c r="Q518" s="672"/>
      <c r="R518" s="672"/>
      <c r="S518" s="672"/>
      <c r="T518" s="672"/>
      <c r="XFC518" s="672"/>
      <c r="XFD518" s="672"/>
    </row>
    <row r="519" spans="1:20 16383:16384" s="679" customFormat="1" x14ac:dyDescent="0.2">
      <c r="A519" s="629"/>
      <c r="B519" s="629"/>
      <c r="C519" s="629"/>
      <c r="D519" s="629"/>
      <c r="E519" s="629"/>
      <c r="F519" s="629"/>
      <c r="G519" s="629"/>
      <c r="H519" s="629"/>
      <c r="I519" s="629"/>
      <c r="J519" s="629"/>
      <c r="K519" s="629"/>
      <c r="L519" s="629"/>
      <c r="M519" s="629"/>
      <c r="N519" s="672"/>
      <c r="O519" s="672"/>
      <c r="P519" s="672"/>
      <c r="Q519" s="672"/>
      <c r="R519" s="672"/>
      <c r="S519" s="672"/>
      <c r="T519" s="672"/>
      <c r="XFC519" s="672"/>
      <c r="XFD519" s="672"/>
    </row>
    <row r="520" spans="1:20 16383:16384" s="679" customFormat="1" x14ac:dyDescent="0.2">
      <c r="A520" s="629"/>
      <c r="B520" s="629"/>
      <c r="C520" s="629"/>
      <c r="D520" s="629"/>
      <c r="E520" s="629"/>
      <c r="F520" s="629"/>
      <c r="G520" s="629"/>
      <c r="H520" s="629"/>
      <c r="I520" s="629"/>
      <c r="J520" s="629"/>
      <c r="K520" s="629"/>
      <c r="L520" s="629"/>
      <c r="M520" s="629"/>
      <c r="N520" s="672"/>
      <c r="O520" s="672"/>
      <c r="P520" s="672"/>
      <c r="Q520" s="672"/>
      <c r="R520" s="672"/>
      <c r="S520" s="672"/>
      <c r="T520" s="672"/>
      <c r="XFC520" s="672"/>
      <c r="XFD520" s="672"/>
    </row>
    <row r="521" spans="1:20 16383:16384" s="679" customFormat="1" x14ac:dyDescent="0.2">
      <c r="A521" s="629"/>
      <c r="B521" s="629"/>
      <c r="C521" s="629"/>
      <c r="D521" s="629"/>
      <c r="E521" s="629"/>
      <c r="F521" s="629"/>
      <c r="G521" s="629"/>
      <c r="H521" s="629"/>
      <c r="I521" s="629"/>
      <c r="J521" s="629"/>
      <c r="K521" s="629"/>
      <c r="L521" s="629"/>
      <c r="M521" s="629"/>
      <c r="N521" s="672"/>
      <c r="O521" s="672"/>
      <c r="P521" s="672"/>
      <c r="Q521" s="672"/>
      <c r="R521" s="672"/>
      <c r="S521" s="672"/>
      <c r="T521" s="672"/>
      <c r="XFC521" s="672"/>
      <c r="XFD521" s="672"/>
    </row>
    <row r="522" spans="1:20 16383:16384" s="674" customFormat="1" x14ac:dyDescent="0.2">
      <c r="A522" s="291"/>
      <c r="B522" s="291"/>
      <c r="C522" s="291"/>
      <c r="D522" s="291"/>
      <c r="E522" s="291"/>
      <c r="F522" s="291"/>
      <c r="G522" s="629"/>
      <c r="H522" s="291"/>
      <c r="I522" s="629"/>
      <c r="J522" s="629"/>
      <c r="K522" s="629"/>
      <c r="L522" s="291"/>
      <c r="M522" s="291"/>
      <c r="N522" s="672"/>
      <c r="O522" s="672"/>
      <c r="P522" s="672"/>
      <c r="Q522" s="672"/>
      <c r="R522" s="672"/>
      <c r="S522" s="672"/>
      <c r="T522" s="672"/>
      <c r="XFC522" s="673"/>
      <c r="XFD522" s="672"/>
    </row>
    <row r="523" spans="1:20 16383:16384" s="674" customFormat="1" x14ac:dyDescent="0.2">
      <c r="A523" s="291"/>
      <c r="B523" s="291"/>
      <c r="C523" s="291"/>
      <c r="D523" s="291"/>
      <c r="E523" s="291"/>
      <c r="F523" s="291"/>
      <c r="G523" s="629"/>
      <c r="H523" s="291"/>
      <c r="I523" s="629"/>
      <c r="J523" s="629"/>
      <c r="K523" s="629"/>
      <c r="L523" s="291"/>
      <c r="M523" s="291"/>
      <c r="N523" s="672"/>
      <c r="O523" s="672"/>
      <c r="P523" s="672"/>
      <c r="Q523" s="672"/>
      <c r="R523" s="672"/>
      <c r="S523" s="672"/>
      <c r="T523" s="672"/>
      <c r="XFC523" s="673"/>
      <c r="XFD523" s="672"/>
    </row>
    <row r="524" spans="1:20 16383:16384" s="674" customFormat="1" x14ac:dyDescent="0.2">
      <c r="A524" s="291"/>
      <c r="B524" s="291"/>
      <c r="C524" s="291"/>
      <c r="D524" s="291"/>
      <c r="E524" s="291"/>
      <c r="F524" s="291"/>
      <c r="G524" s="629"/>
      <c r="H524" s="291"/>
      <c r="I524" s="629"/>
      <c r="J524" s="629"/>
      <c r="K524" s="629"/>
      <c r="L524" s="291"/>
      <c r="M524" s="291"/>
      <c r="N524" s="672"/>
      <c r="O524" s="672"/>
      <c r="P524" s="672"/>
      <c r="Q524" s="672"/>
      <c r="R524" s="672"/>
      <c r="S524" s="672"/>
      <c r="T524" s="672"/>
      <c r="XFC524" s="673"/>
      <c r="XFD524" s="672"/>
    </row>
    <row r="525" spans="1:20 16383:16384" hidden="1" x14ac:dyDescent="0.2">
      <c r="I525" s="1621" t="s">
        <v>1313</v>
      </c>
      <c r="J525" s="1621"/>
      <c r="K525" s="1621"/>
      <c r="L525" s="1621"/>
    </row>
    <row r="526" spans="1:20 16383:16384" hidden="1" x14ac:dyDescent="0.2"/>
    <row r="527" spans="1:20 16383:16384" hidden="1" x14ac:dyDescent="0.2"/>
    <row r="528" spans="1:20 16383:16384" hidden="1" x14ac:dyDescent="0.2">
      <c r="I528" s="680" t="s">
        <v>1324</v>
      </c>
      <c r="J528" s="680"/>
      <c r="L528" s="681" t="s">
        <v>1325</v>
      </c>
    </row>
    <row r="529" spans="9:13" hidden="1" x14ac:dyDescent="0.2"/>
    <row r="530" spans="9:13" hidden="1" x14ac:dyDescent="0.2">
      <c r="I530" s="682" t="s">
        <v>1326</v>
      </c>
      <c r="J530" s="682"/>
      <c r="K530" s="702">
        <f t="shared" ref="K530:K536" ca="1" si="38">SUMIF($L$12:$XFD$71,$I$530:$I$536,$XFD$12:$XFD$71)</f>
        <v>0</v>
      </c>
      <c r="L530" s="629" t="s">
        <v>1327</v>
      </c>
      <c r="M530" s="703">
        <f ca="1">+K530+K531</f>
        <v>0</v>
      </c>
    </row>
    <row r="531" spans="9:13" hidden="1" x14ac:dyDescent="0.2">
      <c r="I531" s="682" t="s">
        <v>1328</v>
      </c>
      <c r="J531" s="682"/>
      <c r="K531" s="702">
        <f t="shared" ca="1" si="38"/>
        <v>0</v>
      </c>
      <c r="L531" s="629" t="s">
        <v>1329</v>
      </c>
      <c r="M531" s="703">
        <f ca="1">+K532+K533+K534</f>
        <v>0</v>
      </c>
    </row>
    <row r="532" spans="9:13" hidden="1" x14ac:dyDescent="0.2">
      <c r="I532" s="682" t="s">
        <v>1330</v>
      </c>
      <c r="J532" s="682"/>
      <c r="K532" s="702">
        <f t="shared" ca="1" si="38"/>
        <v>0</v>
      </c>
      <c r="L532" s="629" t="s">
        <v>1331</v>
      </c>
      <c r="M532" s="703">
        <f ca="1">+K535</f>
        <v>0</v>
      </c>
    </row>
    <row r="533" spans="9:13" hidden="1" x14ac:dyDescent="0.2">
      <c r="I533" s="682" t="s">
        <v>1332</v>
      </c>
      <c r="J533" s="682"/>
      <c r="K533" s="702">
        <f t="shared" ca="1" si="38"/>
        <v>0</v>
      </c>
      <c r="L533" s="629" t="s">
        <v>1333</v>
      </c>
      <c r="M533" s="703">
        <f ca="1">+K536</f>
        <v>0</v>
      </c>
    </row>
    <row r="534" spans="9:13" hidden="1" x14ac:dyDescent="0.2">
      <c r="I534" s="682" t="s">
        <v>1334</v>
      </c>
      <c r="J534" s="682"/>
      <c r="K534" s="702">
        <f t="shared" ca="1" si="38"/>
        <v>0</v>
      </c>
      <c r="L534" s="704" t="s">
        <v>1335</v>
      </c>
      <c r="M534" s="705">
        <f ca="1">SUM(M530:M533)</f>
        <v>0</v>
      </c>
    </row>
    <row r="535" spans="9:13" hidden="1" x14ac:dyDescent="0.2">
      <c r="I535" s="682" t="s">
        <v>1336</v>
      </c>
      <c r="J535" s="682"/>
      <c r="K535" s="702">
        <f t="shared" ca="1" si="38"/>
        <v>0</v>
      </c>
    </row>
    <row r="536" spans="9:13" hidden="1" x14ac:dyDescent="0.2">
      <c r="I536" s="682" t="s">
        <v>1337</v>
      </c>
      <c r="J536" s="682"/>
      <c r="K536" s="702">
        <f t="shared" ca="1" si="38"/>
        <v>0</v>
      </c>
    </row>
    <row r="537" spans="9:13" hidden="1" x14ac:dyDescent="0.2">
      <c r="I537" s="682" t="s">
        <v>1338</v>
      </c>
      <c r="J537" s="682"/>
      <c r="K537" s="706">
        <f ca="1">SUM(K530:K536)</f>
        <v>0</v>
      </c>
    </row>
    <row r="538" spans="9:13" hidden="1" x14ac:dyDescent="0.2"/>
    <row r="539" spans="9:13" hidden="1" x14ac:dyDescent="0.2">
      <c r="I539" s="1622" t="s">
        <v>1339</v>
      </c>
      <c r="J539" s="1622"/>
      <c r="K539" s="1622"/>
      <c r="L539" s="1622"/>
    </row>
    <row r="540" spans="9:13" hidden="1" x14ac:dyDescent="0.2"/>
    <row r="541" spans="9:13" hidden="1" x14ac:dyDescent="0.2">
      <c r="I541" s="683" t="s">
        <v>1340</v>
      </c>
      <c r="J541" s="684"/>
      <c r="K541" s="702">
        <f t="shared" ref="K541:K555" ca="1" si="39">SUMIF($L$83:$XFD$507,$I$541:$I$555,$XFD$83:$XFD$507)</f>
        <v>0</v>
      </c>
      <c r="L541" s="192" t="s">
        <v>1327</v>
      </c>
      <c r="M541" s="703">
        <f ca="1">+K550</f>
        <v>310000</v>
      </c>
    </row>
    <row r="542" spans="9:13" hidden="1" x14ac:dyDescent="0.2">
      <c r="I542" s="685" t="s">
        <v>1341</v>
      </c>
      <c r="J542" s="684"/>
      <c r="K542" s="702">
        <f t="shared" ca="1" si="39"/>
        <v>0</v>
      </c>
      <c r="L542" s="681" t="s">
        <v>1329</v>
      </c>
      <c r="M542" s="703">
        <f ca="1">+K541+K545+K547</f>
        <v>0</v>
      </c>
    </row>
    <row r="543" spans="9:13" hidden="1" x14ac:dyDescent="0.2">
      <c r="I543" s="686" t="s">
        <v>707</v>
      </c>
      <c r="J543" s="684"/>
      <c r="K543" s="702">
        <f t="shared" ca="1" si="39"/>
        <v>0</v>
      </c>
      <c r="L543" s="680" t="s">
        <v>1342</v>
      </c>
      <c r="M543" s="703">
        <f ca="1">+K543+K544</f>
        <v>0</v>
      </c>
    </row>
    <row r="544" spans="9:13" hidden="1" x14ac:dyDescent="0.2">
      <c r="I544" s="686" t="s">
        <v>695</v>
      </c>
      <c r="J544" s="684"/>
      <c r="K544" s="702">
        <f t="shared" ca="1" si="39"/>
        <v>0</v>
      </c>
      <c r="L544" s="675" t="s">
        <v>1331</v>
      </c>
      <c r="M544" s="703">
        <f ca="1">+K546</f>
        <v>0</v>
      </c>
    </row>
    <row r="545" spans="9:13" hidden="1" x14ac:dyDescent="0.2">
      <c r="I545" s="683" t="s">
        <v>711</v>
      </c>
      <c r="J545" s="684"/>
      <c r="K545" s="702">
        <f t="shared" ca="1" si="39"/>
        <v>0</v>
      </c>
      <c r="L545" s="687" t="s">
        <v>1343</v>
      </c>
      <c r="M545" s="703">
        <f ca="1">+K549</f>
        <v>0</v>
      </c>
    </row>
    <row r="546" spans="9:13" hidden="1" x14ac:dyDescent="0.2">
      <c r="I546" s="688" t="s">
        <v>1344</v>
      </c>
      <c r="J546" s="684"/>
      <c r="K546" s="702">
        <f t="shared" ca="1" si="39"/>
        <v>0</v>
      </c>
      <c r="L546" s="689" t="s">
        <v>1202</v>
      </c>
      <c r="M546" s="703">
        <f ca="1">+K542+K548+K551+K552+K553+K554+K555</f>
        <v>0</v>
      </c>
    </row>
    <row r="547" spans="9:13" hidden="1" x14ac:dyDescent="0.2">
      <c r="I547" s="683" t="s">
        <v>79</v>
      </c>
      <c r="J547" s="684"/>
      <c r="K547" s="702">
        <f t="shared" ca="1" si="39"/>
        <v>0</v>
      </c>
      <c r="L547" s="707" t="s">
        <v>1345</v>
      </c>
      <c r="M547" s="705">
        <f ca="1">SUM(M541:M546)</f>
        <v>310000</v>
      </c>
    </row>
    <row r="548" spans="9:13" hidden="1" x14ac:dyDescent="0.2">
      <c r="I548" s="685" t="s">
        <v>1346</v>
      </c>
      <c r="J548" s="684"/>
      <c r="K548" s="702">
        <f t="shared" ca="1" si="39"/>
        <v>0</v>
      </c>
    </row>
    <row r="549" spans="9:13" hidden="1" x14ac:dyDescent="0.2">
      <c r="I549" s="690" t="s">
        <v>1347</v>
      </c>
      <c r="J549" s="682"/>
      <c r="K549" s="702">
        <f t="shared" ca="1" si="39"/>
        <v>0</v>
      </c>
    </row>
    <row r="550" spans="9:13" hidden="1" x14ac:dyDescent="0.2">
      <c r="I550" s="282" t="s">
        <v>290</v>
      </c>
      <c r="J550" s="682"/>
      <c r="K550" s="702">
        <f t="shared" ca="1" si="39"/>
        <v>310000</v>
      </c>
    </row>
    <row r="551" spans="9:13" hidden="1" x14ac:dyDescent="0.2">
      <c r="I551" s="691" t="s">
        <v>1348</v>
      </c>
      <c r="J551" s="682"/>
      <c r="K551" s="702">
        <f t="shared" ca="1" si="39"/>
        <v>0</v>
      </c>
    </row>
    <row r="552" spans="9:13" hidden="1" x14ac:dyDescent="0.2">
      <c r="I552" s="691" t="s">
        <v>1349</v>
      </c>
      <c r="J552" s="682"/>
      <c r="K552" s="702">
        <f t="shared" ca="1" si="39"/>
        <v>0</v>
      </c>
    </row>
    <row r="553" spans="9:13" hidden="1" x14ac:dyDescent="0.2">
      <c r="I553" s="691" t="s">
        <v>1350</v>
      </c>
      <c r="J553" s="682"/>
      <c r="K553" s="702">
        <f t="shared" ca="1" si="39"/>
        <v>0</v>
      </c>
    </row>
    <row r="554" spans="9:13" hidden="1" x14ac:dyDescent="0.2">
      <c r="I554" s="691" t="s">
        <v>1351</v>
      </c>
      <c r="J554" s="682"/>
      <c r="K554" s="702">
        <f t="shared" ca="1" si="39"/>
        <v>0</v>
      </c>
    </row>
    <row r="555" spans="9:13" hidden="1" x14ac:dyDescent="0.2">
      <c r="I555" s="691" t="s">
        <v>1352</v>
      </c>
      <c r="J555" s="682"/>
      <c r="K555" s="702">
        <f t="shared" ca="1" si="39"/>
        <v>0</v>
      </c>
    </row>
    <row r="556" spans="9:13" hidden="1" x14ac:dyDescent="0.2">
      <c r="I556" s="708" t="s">
        <v>1353</v>
      </c>
      <c r="J556" s="708"/>
      <c r="K556" s="706">
        <f ca="1">SUM(K541:K555)</f>
        <v>310000</v>
      </c>
    </row>
    <row r="557" spans="9:13" hidden="1" x14ac:dyDescent="0.2"/>
    <row r="5036" spans="1:4" x14ac:dyDescent="0.2">
      <c r="A5036" s="709"/>
      <c r="B5036" s="709"/>
      <c r="C5036" s="709">
        <v>0</v>
      </c>
      <c r="D5036" s="709"/>
    </row>
    <row r="19998" spans="6:6" x14ac:dyDescent="0.2">
      <c r="F19998" s="710"/>
    </row>
    <row r="19999" spans="6:6" x14ac:dyDescent="0.2">
      <c r="F19999" s="710" t="s">
        <v>1354</v>
      </c>
    </row>
    <row r="20000" spans="6:6" x14ac:dyDescent="0.2">
      <c r="F20000" s="710"/>
    </row>
    <row r="20001" spans="6:6" x14ac:dyDescent="0.2">
      <c r="F20001" s="710"/>
    </row>
    <row r="20002" spans="6:6" x14ac:dyDescent="0.2">
      <c r="F20002" s="710"/>
    </row>
    <row r="20003" spans="6:6" x14ac:dyDescent="0.2">
      <c r="F20003" s="710">
        <v>0</v>
      </c>
    </row>
    <row r="20004" spans="6:6" x14ac:dyDescent="0.2">
      <c r="F20004" s="710">
        <v>0</v>
      </c>
    </row>
    <row r="20005" spans="6:6" x14ac:dyDescent="0.2">
      <c r="F20005" s="710">
        <v>0</v>
      </c>
    </row>
    <row r="20006" spans="6:6" x14ac:dyDescent="0.2">
      <c r="F20006" s="710">
        <v>0</v>
      </c>
    </row>
    <row r="20007" spans="6:6" x14ac:dyDescent="0.2">
      <c r="F20007" s="710"/>
    </row>
    <row r="20008" spans="6:6" x14ac:dyDescent="0.2">
      <c r="F20008" s="710"/>
    </row>
    <row r="20009" spans="6:6" x14ac:dyDescent="0.2">
      <c r="F20009" s="710"/>
    </row>
    <row r="20010" spans="6:6" x14ac:dyDescent="0.2">
      <c r="F20010" s="710"/>
    </row>
    <row r="20011" spans="6:6" x14ac:dyDescent="0.2">
      <c r="F20011" s="710" t="s">
        <v>1234</v>
      </c>
    </row>
    <row r="20012" spans="6:6" x14ac:dyDescent="0.2">
      <c r="F20012" s="711"/>
    </row>
    <row r="20013" spans="6:6" x14ac:dyDescent="0.2">
      <c r="F20013" s="711"/>
    </row>
    <row r="20014" spans="6:6" x14ac:dyDescent="0.2">
      <c r="F20014" s="711"/>
    </row>
    <row r="20015" spans="6:6" x14ac:dyDescent="0.2">
      <c r="F20015" s="711"/>
    </row>
    <row r="20016" spans="6:6" x14ac:dyDescent="0.2">
      <c r="F20016" s="711"/>
    </row>
    <row r="20017" spans="6:6" x14ac:dyDescent="0.2">
      <c r="F20017" s="711"/>
    </row>
    <row r="20018" spans="6:6" x14ac:dyDescent="0.2">
      <c r="F20018" s="711"/>
    </row>
    <row r="20019" spans="6:6" x14ac:dyDescent="0.2">
      <c r="F20019" s="711"/>
    </row>
    <row r="20020" spans="6:6" x14ac:dyDescent="0.2">
      <c r="F20020" s="711"/>
    </row>
    <row r="20021" spans="6:6" x14ac:dyDescent="0.2">
      <c r="F20021" s="711"/>
    </row>
    <row r="20022" spans="6:6" x14ac:dyDescent="0.2">
      <c r="F20022" s="711"/>
    </row>
    <row r="20023" spans="6:6" x14ac:dyDescent="0.2">
      <c r="F20023" s="711"/>
    </row>
    <row r="20024" spans="6:6" x14ac:dyDescent="0.2">
      <c r="F20024" s="711"/>
    </row>
    <row r="20025" spans="6:6" x14ac:dyDescent="0.2">
      <c r="F20025" s="711"/>
    </row>
    <row r="20026" spans="6:6" x14ac:dyDescent="0.2">
      <c r="F20026" s="711"/>
    </row>
    <row r="20027" spans="6:6" x14ac:dyDescent="0.2">
      <c r="F20027" s="711"/>
    </row>
    <row r="20028" spans="6:6" x14ac:dyDescent="0.2">
      <c r="F20028" s="711"/>
    </row>
    <row r="20029" spans="6:6" x14ac:dyDescent="0.2">
      <c r="F20029" s="711"/>
    </row>
    <row r="20030" spans="6:6" x14ac:dyDescent="0.2">
      <c r="F20030" s="711"/>
    </row>
    <row r="20031" spans="6:6" x14ac:dyDescent="0.2">
      <c r="F20031" s="711"/>
    </row>
    <row r="20032" spans="6:6" x14ac:dyDescent="0.2">
      <c r="F20032" s="711"/>
    </row>
    <row r="20033" spans="1:6" x14ac:dyDescent="0.2">
      <c r="F20033" s="711"/>
    </row>
    <row r="20034" spans="1:6" x14ac:dyDescent="0.2">
      <c r="F20034" s="711"/>
    </row>
    <row r="20035" spans="1:6" x14ac:dyDescent="0.2">
      <c r="F20035" s="711"/>
    </row>
    <row r="20036" spans="1:6" x14ac:dyDescent="0.2">
      <c r="A20036" s="291">
        <v>1</v>
      </c>
      <c r="F20036" s="711"/>
    </row>
    <row r="20037" spans="1:6" x14ac:dyDescent="0.2">
      <c r="B20037" s="692"/>
      <c r="F20037" s="711"/>
    </row>
    <row r="20038" spans="1:6" x14ac:dyDescent="0.2">
      <c r="F20038" s="711"/>
    </row>
    <row r="20039" spans="1:6" x14ac:dyDescent="0.2">
      <c r="B20039" s="692"/>
      <c r="F20039" s="711"/>
    </row>
    <row r="20040" spans="1:6" x14ac:dyDescent="0.2">
      <c r="B20040" s="692"/>
      <c r="F20040" s="711"/>
    </row>
    <row r="20041" spans="1:6" x14ac:dyDescent="0.2">
      <c r="B20041" s="692"/>
      <c r="F20041" s="711"/>
    </row>
    <row r="20042" spans="1:6" x14ac:dyDescent="0.2">
      <c r="B20042" s="692"/>
      <c r="F20042" s="711"/>
    </row>
    <row r="20043" spans="1:6" x14ac:dyDescent="0.2">
      <c r="F20043" s="711"/>
    </row>
    <row r="20044" spans="1:6" x14ac:dyDescent="0.2">
      <c r="F20044" s="711"/>
    </row>
  </sheetData>
  <mergeCells count="65">
    <mergeCell ref="I21:J21"/>
    <mergeCell ref="D6:F6"/>
    <mergeCell ref="I11:J11"/>
    <mergeCell ref="I12:J12"/>
    <mergeCell ref="I13:J13"/>
    <mergeCell ref="I14:J14"/>
    <mergeCell ref="I15:J15"/>
    <mergeCell ref="I16:J16"/>
    <mergeCell ref="I17:J17"/>
    <mergeCell ref="I18:J18"/>
    <mergeCell ref="I19:J19"/>
    <mergeCell ref="I20:J20"/>
    <mergeCell ref="I33:J33"/>
    <mergeCell ref="I22:J22"/>
    <mergeCell ref="I23:J23"/>
    <mergeCell ref="I24:J24"/>
    <mergeCell ref="I25:J25"/>
    <mergeCell ref="I26:J26"/>
    <mergeCell ref="I27:J27"/>
    <mergeCell ref="I28:J28"/>
    <mergeCell ref="I29:J29"/>
    <mergeCell ref="I30:J30"/>
    <mergeCell ref="I31:J31"/>
    <mergeCell ref="I32:J32"/>
    <mergeCell ref="I45:J45"/>
    <mergeCell ref="I34:J34"/>
    <mergeCell ref="I35:J35"/>
    <mergeCell ref="I36:J36"/>
    <mergeCell ref="I37:J37"/>
    <mergeCell ref="I38:J38"/>
    <mergeCell ref="I39:J39"/>
    <mergeCell ref="I40:J40"/>
    <mergeCell ref="I41:J41"/>
    <mergeCell ref="I42:J42"/>
    <mergeCell ref="I43:J43"/>
    <mergeCell ref="I44:J44"/>
    <mergeCell ref="I57:J57"/>
    <mergeCell ref="I46:J46"/>
    <mergeCell ref="I47:J47"/>
    <mergeCell ref="I48:J48"/>
    <mergeCell ref="I49:J49"/>
    <mergeCell ref="I50:J50"/>
    <mergeCell ref="I51:J51"/>
    <mergeCell ref="I52:J52"/>
    <mergeCell ref="I53:J53"/>
    <mergeCell ref="I54:J54"/>
    <mergeCell ref="I55:J55"/>
    <mergeCell ref="I56:J56"/>
    <mergeCell ref="I69:J69"/>
    <mergeCell ref="I58:J58"/>
    <mergeCell ref="I59:J59"/>
    <mergeCell ref="I60:J60"/>
    <mergeCell ref="I61:J61"/>
    <mergeCell ref="I62:J62"/>
    <mergeCell ref="I63:J63"/>
    <mergeCell ref="I64:J64"/>
    <mergeCell ref="I65:J65"/>
    <mergeCell ref="I66:J66"/>
    <mergeCell ref="I67:J67"/>
    <mergeCell ref="I68:J68"/>
    <mergeCell ref="I70:J70"/>
    <mergeCell ref="I71:J71"/>
    <mergeCell ref="I72:J72"/>
    <mergeCell ref="I525:L525"/>
    <mergeCell ref="I539:L539"/>
  </mergeCells>
  <dataValidations count="6">
    <dataValidation allowBlank="1" showInputMessage="1" showErrorMessage="1" prompt="No incluya retefuentes del exterior. " sqref="K83:K507" xr:uid="{00000000-0002-0000-1F00-000000000000}"/>
    <dataValidation allowBlank="1" showInputMessage="1" showErrorMessage="1" prompt="Seleccione el concepto respectivo de la lista" sqref="L11" xr:uid="{00000000-0002-0000-1F00-000001000000}"/>
    <dataValidation allowBlank="1" showInputMessage="1" showErrorMessage="1" prompt="Digite el formulario de la declaración de retefuente respectiva." sqref="M12:M59" xr:uid="{00000000-0002-0000-1F00-000002000000}"/>
    <dataValidation allowBlank="1" showInputMessage="1" showErrorMessage="1" prompt="Está digitando el dato  contable,  recuerde que  en la columna siguiente  se debe digitar  la retefuente certificada por los clientes que es la que va al formulario 110." sqref="J83:J507" xr:uid="{00000000-0002-0000-1F00-000003000000}"/>
    <dataValidation allowBlank="1" showInputMessage="1" showErrorMessage="1" prompt="Solo verifica para alertar si hay inconcistencias en el %" sqref="O82" xr:uid="{00000000-0002-0000-1F00-000004000000}"/>
    <dataValidation allowBlank="1" showInputMessage="1" showErrorMessage="1" prompt="Está digitando el dato  contable,  recuerde que  en la columna siguiente  se debe digitar  la retefuente certificada por nuestros clientes." sqref="I12:I23" xr:uid="{00000000-0002-0000-1F00-000005000000}"/>
  </dataValidation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T156"/>
  <sheetViews>
    <sheetView showGridLines="0" tabSelected="1" topLeftCell="A7" zoomScale="85" zoomScaleNormal="85" workbookViewId="0">
      <selection activeCell="K135" sqref="K135"/>
    </sheetView>
  </sheetViews>
  <sheetFormatPr baseColWidth="10" defaultRowHeight="12.75" outlineLevelRow="1" x14ac:dyDescent="0.2"/>
  <cols>
    <col min="1" max="2" width="11.42578125" style="190"/>
    <col min="3" max="3" width="18.42578125" style="190" customWidth="1"/>
    <col min="4" max="4" width="11.42578125" style="190"/>
    <col min="5" max="5" width="13.5703125" style="190" customWidth="1"/>
    <col min="6" max="7" width="11.42578125" style="190"/>
    <col min="8" max="8" width="0" style="190" hidden="1" customWidth="1"/>
    <col min="9" max="13" width="11.42578125" style="190"/>
    <col min="14" max="14" width="15.28515625" style="190" customWidth="1"/>
    <col min="15" max="15" width="11.42578125" style="190"/>
    <col min="16" max="16" width="15" style="190" bestFit="1" customWidth="1"/>
    <col min="17" max="18" width="11.42578125" style="190"/>
    <col min="19" max="19" width="17.42578125" style="190" customWidth="1"/>
    <col min="20" max="16384" width="11.42578125" style="190"/>
  </cols>
  <sheetData>
    <row r="1" spans="1:20" x14ac:dyDescent="0.2">
      <c r="A1" s="1640"/>
      <c r="B1" s="1640"/>
      <c r="C1" s="1640"/>
      <c r="D1" s="1640"/>
      <c r="E1" s="1640"/>
      <c r="F1" s="1640"/>
      <c r="G1" s="725"/>
      <c r="H1" s="725"/>
      <c r="I1" s="726"/>
      <c r="J1" s="727"/>
      <c r="K1" s="727"/>
      <c r="L1" s="727"/>
      <c r="M1" s="727"/>
      <c r="N1" s="727"/>
      <c r="O1" s="725"/>
      <c r="P1" s="725"/>
      <c r="Q1" s="725"/>
      <c r="R1" s="725"/>
      <c r="S1" s="728"/>
      <c r="T1" s="725"/>
    </row>
    <row r="2" spans="1:20" x14ac:dyDescent="0.2">
      <c r="A2" s="729" t="s">
        <v>2171</v>
      </c>
      <c r="B2" s="729"/>
      <c r="C2" s="290"/>
      <c r="D2" s="290"/>
      <c r="E2" s="725"/>
      <c r="G2" s="725"/>
      <c r="H2" s="725"/>
      <c r="I2" s="726"/>
      <c r="J2" s="725"/>
      <c r="K2" s="725"/>
      <c r="L2" s="727"/>
      <c r="M2" s="727"/>
      <c r="N2" s="727"/>
      <c r="O2" s="725"/>
      <c r="P2" s="725"/>
      <c r="Q2" s="725"/>
      <c r="R2" s="725"/>
      <c r="S2" s="728"/>
      <c r="T2" s="725"/>
    </row>
    <row r="3" spans="1:20" x14ac:dyDescent="0.2">
      <c r="A3" s="717"/>
      <c r="B3" s="717"/>
      <c r="G3" s="717"/>
      <c r="H3" s="717"/>
      <c r="O3" s="717"/>
      <c r="P3" s="717"/>
      <c r="Q3" s="717"/>
      <c r="R3" s="717"/>
      <c r="S3" s="719"/>
      <c r="T3" s="717"/>
    </row>
    <row r="4" spans="1:20" x14ac:dyDescent="0.2">
      <c r="A4" s="1641" t="s">
        <v>1356</v>
      </c>
      <c r="B4" s="1641"/>
      <c r="C4" s="1641"/>
      <c r="D4" s="1641"/>
      <c r="E4" s="1641"/>
      <c r="G4" s="730"/>
      <c r="H4" s="730"/>
      <c r="I4" s="717"/>
      <c r="J4" s="717"/>
      <c r="K4" s="717"/>
      <c r="Q4" s="717"/>
      <c r="R4" s="717"/>
      <c r="S4" s="719"/>
      <c r="T4" s="717"/>
    </row>
    <row r="5" spans="1:20" x14ac:dyDescent="0.2">
      <c r="A5" s="1642" t="s">
        <v>1357</v>
      </c>
      <c r="B5" s="1642"/>
      <c r="C5" s="1642"/>
      <c r="D5" s="1642"/>
      <c r="E5" s="731" t="s">
        <v>1355</v>
      </c>
      <c r="F5" s="291"/>
      <c r="G5" s="732" t="str">
        <f>IF(AND(N132&gt;0,E9=0),"&lt;&lt;&lt;&lt;&lt;Digite la información contable por cada cuenta en el espacio de información contable para ajuste fiscal","")</f>
        <v/>
      </c>
      <c r="I5" s="717"/>
      <c r="J5" s="717"/>
      <c r="K5" s="717"/>
      <c r="Q5" s="717"/>
      <c r="R5" s="717"/>
      <c r="S5" s="719"/>
      <c r="T5" s="717"/>
    </row>
    <row r="6" spans="1:20" x14ac:dyDescent="0.2">
      <c r="A6" s="1643" t="s">
        <v>498</v>
      </c>
      <c r="B6" s="1643"/>
      <c r="C6" s="1643"/>
      <c r="D6" s="1643"/>
      <c r="E6" s="733">
        <f>+'Sumaria renta 20x3'!C111</f>
        <v>289426370.51999998</v>
      </c>
      <c r="G6" s="720" t="str">
        <f>IF(AND(E9&gt;0,N132=0),"Digite la información de las declaraciones de Industria y comercio","")</f>
        <v/>
      </c>
      <c r="I6" s="717"/>
      <c r="J6" s="717"/>
      <c r="K6" s="717"/>
      <c r="Q6" s="717"/>
      <c r="R6" s="717"/>
      <c r="S6" s="719"/>
      <c r="T6" s="717"/>
    </row>
    <row r="7" spans="1:20" x14ac:dyDescent="0.2">
      <c r="A7" s="1643" t="s">
        <v>1358</v>
      </c>
      <c r="B7" s="1643"/>
      <c r="C7" s="1643"/>
      <c r="D7" s="1643"/>
      <c r="E7" s="733"/>
      <c r="G7" s="717"/>
      <c r="H7" s="717"/>
      <c r="I7" s="717"/>
      <c r="J7" s="717"/>
      <c r="K7" s="717"/>
      <c r="Q7" s="717"/>
      <c r="R7" s="717"/>
      <c r="S7" s="719"/>
      <c r="T7" s="717"/>
    </row>
    <row r="8" spans="1:20" x14ac:dyDescent="0.2">
      <c r="A8" s="1639" t="s">
        <v>1197</v>
      </c>
      <c r="B8" s="1639"/>
      <c r="C8" s="1639"/>
      <c r="D8" s="1639"/>
      <c r="E8" s="733"/>
      <c r="G8" s="717"/>
      <c r="H8" s="732"/>
      <c r="I8" s="717"/>
      <c r="J8" s="717"/>
      <c r="K8" s="717"/>
      <c r="Q8" s="717"/>
      <c r="R8" s="717"/>
      <c r="S8" s="717"/>
      <c r="T8" s="717"/>
    </row>
    <row r="9" spans="1:20" x14ac:dyDescent="0.2">
      <c r="A9" s="1631" t="s">
        <v>1359</v>
      </c>
      <c r="B9" s="1631"/>
      <c r="C9" s="1631"/>
      <c r="D9" s="1631"/>
      <c r="E9" s="734">
        <f>SUM(E6:E8)</f>
        <v>289426370.51999998</v>
      </c>
      <c r="G9" s="717"/>
      <c r="H9" s="720"/>
      <c r="I9" s="1632" t="s">
        <v>1360</v>
      </c>
      <c r="J9" s="1632"/>
      <c r="K9" s="1632"/>
      <c r="L9" s="1632"/>
      <c r="Q9" s="717"/>
      <c r="R9" s="717"/>
      <c r="S9" s="717"/>
      <c r="T9" s="717"/>
    </row>
    <row r="10" spans="1:20" x14ac:dyDescent="0.2">
      <c r="A10" s="721"/>
      <c r="B10" s="721"/>
      <c r="C10" s="722"/>
      <c r="D10" s="722"/>
      <c r="E10" s="722"/>
      <c r="F10" s="722"/>
      <c r="G10" s="722"/>
      <c r="H10" s="722"/>
      <c r="I10" s="722"/>
      <c r="J10" s="722"/>
      <c r="K10" s="722"/>
      <c r="L10" s="722"/>
      <c r="Q10" s="717"/>
      <c r="R10" s="717"/>
      <c r="S10" s="717"/>
      <c r="T10" s="717"/>
    </row>
    <row r="11" spans="1:20" x14ac:dyDescent="0.2">
      <c r="A11" s="717"/>
      <c r="B11" s="717"/>
      <c r="O11" s="717"/>
      <c r="P11" s="717"/>
      <c r="Q11" s="717"/>
      <c r="R11" s="717"/>
      <c r="S11" s="717"/>
      <c r="T11" s="717"/>
    </row>
    <row r="12" spans="1:20" ht="51" x14ac:dyDescent="0.2">
      <c r="A12" s="735" t="s">
        <v>1384</v>
      </c>
      <c r="B12" s="735" t="s">
        <v>1361</v>
      </c>
      <c r="C12" s="735" t="s">
        <v>1362</v>
      </c>
      <c r="D12" s="735" t="s">
        <v>1363</v>
      </c>
      <c r="E12" s="736" t="s">
        <v>1364</v>
      </c>
      <c r="F12" s="736" t="s">
        <v>1365</v>
      </c>
      <c r="G12" s="736" t="s">
        <v>1366</v>
      </c>
      <c r="H12" s="737" t="s">
        <v>1367</v>
      </c>
      <c r="I12" s="735" t="s">
        <v>1368</v>
      </c>
      <c r="J12" s="735" t="s">
        <v>1369</v>
      </c>
      <c r="K12" s="735" t="s">
        <v>1370</v>
      </c>
      <c r="L12" s="735" t="s">
        <v>1371</v>
      </c>
      <c r="M12" s="736" t="s">
        <v>1372</v>
      </c>
      <c r="N12" s="735" t="s">
        <v>1373</v>
      </c>
      <c r="O12" s="717"/>
      <c r="P12" s="717"/>
      <c r="Q12" s="717"/>
      <c r="R12" s="717"/>
      <c r="S12" s="717"/>
      <c r="T12" s="717"/>
    </row>
    <row r="13" spans="1:20" x14ac:dyDescent="0.2">
      <c r="A13" s="738" t="s">
        <v>2167</v>
      </c>
      <c r="B13" s="738" t="s">
        <v>2169</v>
      </c>
      <c r="C13" s="739" t="s">
        <v>2099</v>
      </c>
      <c r="D13" s="1063" t="s">
        <v>2066</v>
      </c>
      <c r="E13" s="740">
        <v>115432000</v>
      </c>
      <c r="F13" s="740">
        <f>+ROUND((E13*0.15),-3)</f>
        <v>17315000</v>
      </c>
      <c r="G13" s="740">
        <f>+ROUND((E13*5%),-3)</f>
        <v>5772000</v>
      </c>
      <c r="H13" s="741"/>
      <c r="I13" s="740"/>
      <c r="J13" s="742">
        <v>32000000</v>
      </c>
      <c r="K13" s="740">
        <v>45000000</v>
      </c>
      <c r="L13" s="742">
        <v>12567000</v>
      </c>
      <c r="M13" s="742">
        <f>+ROUND((E13*0%),-3)</f>
        <v>0</v>
      </c>
      <c r="N13" s="743">
        <f t="shared" ref="N13:N44" si="0">+E13+F13+G13+H13+I13-J13+K13-L13-M13</f>
        <v>138952000</v>
      </c>
      <c r="O13" s="717"/>
      <c r="P13" s="717"/>
      <c r="Q13" s="717"/>
      <c r="R13" s="717"/>
      <c r="S13" s="717"/>
      <c r="T13" s="717"/>
    </row>
    <row r="14" spans="1:20" x14ac:dyDescent="0.2">
      <c r="A14" s="744" t="s">
        <v>2168</v>
      </c>
      <c r="B14" s="744" t="s">
        <v>2170</v>
      </c>
      <c r="C14" s="745" t="s">
        <v>2067</v>
      </c>
      <c r="D14" s="1064" t="s">
        <v>2066</v>
      </c>
      <c r="E14" s="746">
        <v>114543000</v>
      </c>
      <c r="F14" s="740">
        <f>+ROUND((E14*0.15),-3)</f>
        <v>17181000</v>
      </c>
      <c r="G14" s="746">
        <v>0</v>
      </c>
      <c r="H14" s="747"/>
      <c r="I14" s="746"/>
      <c r="J14" s="748">
        <v>15000000</v>
      </c>
      <c r="K14" s="746">
        <v>22000000</v>
      </c>
      <c r="L14" s="748">
        <v>0</v>
      </c>
      <c r="M14" s="742">
        <f>+ROUND((E14*10%),-3)</f>
        <v>11454000</v>
      </c>
      <c r="N14" s="743">
        <f t="shared" si="0"/>
        <v>127270000</v>
      </c>
      <c r="O14" s="717"/>
      <c r="P14" s="717"/>
      <c r="Q14" s="717"/>
      <c r="R14" s="717"/>
      <c r="S14" s="717"/>
      <c r="T14" s="717"/>
    </row>
    <row r="15" spans="1:20" x14ac:dyDescent="0.2">
      <c r="A15" s="744"/>
      <c r="B15" s="744"/>
      <c r="C15" s="745"/>
      <c r="D15" s="746"/>
      <c r="E15" s="746"/>
      <c r="F15" s="746"/>
      <c r="G15" s="746"/>
      <c r="H15" s="747"/>
      <c r="I15" s="746"/>
      <c r="J15" s="748"/>
      <c r="K15" s="746"/>
      <c r="L15" s="748"/>
      <c r="M15" s="748"/>
      <c r="N15" s="743">
        <f t="shared" si="0"/>
        <v>0</v>
      </c>
      <c r="O15" s="717"/>
      <c r="P15" s="717"/>
      <c r="Q15" s="717"/>
      <c r="R15" s="717"/>
      <c r="S15" s="717"/>
      <c r="T15" s="717"/>
    </row>
    <row r="16" spans="1:20" x14ac:dyDescent="0.2">
      <c r="A16" s="744"/>
      <c r="B16" s="744"/>
      <c r="C16" s="745"/>
      <c r="D16" s="746"/>
      <c r="E16" s="746"/>
      <c r="F16" s="746"/>
      <c r="G16" s="746"/>
      <c r="H16" s="747"/>
      <c r="I16" s="746"/>
      <c r="J16" s="748"/>
      <c r="K16" s="746"/>
      <c r="L16" s="748"/>
      <c r="M16" s="748"/>
      <c r="N16" s="743">
        <f t="shared" si="0"/>
        <v>0</v>
      </c>
      <c r="O16" s="717"/>
      <c r="P16" s="717"/>
      <c r="Q16" s="717"/>
      <c r="R16" s="717"/>
      <c r="S16" s="717"/>
      <c r="T16" s="717"/>
    </row>
    <row r="17" spans="1:20" x14ac:dyDescent="0.2">
      <c r="A17" s="744"/>
      <c r="B17" s="744"/>
      <c r="C17" s="745"/>
      <c r="D17" s="746"/>
      <c r="E17" s="746"/>
      <c r="F17" s="746"/>
      <c r="G17" s="746"/>
      <c r="H17" s="747"/>
      <c r="I17" s="746"/>
      <c r="J17" s="748"/>
      <c r="K17" s="746"/>
      <c r="L17" s="748"/>
      <c r="M17" s="748"/>
      <c r="N17" s="743">
        <f t="shared" si="0"/>
        <v>0</v>
      </c>
      <c r="O17" s="717"/>
      <c r="P17" s="717"/>
      <c r="Q17" s="717"/>
      <c r="R17" s="717"/>
      <c r="S17" s="717"/>
      <c r="T17" s="717"/>
    </row>
    <row r="18" spans="1:20" x14ac:dyDescent="0.2">
      <c r="A18" s="744"/>
      <c r="B18" s="744"/>
      <c r="C18" s="745"/>
      <c r="D18" s="746"/>
      <c r="E18" s="746"/>
      <c r="F18" s="746"/>
      <c r="G18" s="746"/>
      <c r="H18" s="747"/>
      <c r="I18" s="746"/>
      <c r="J18" s="748"/>
      <c r="K18" s="746"/>
      <c r="L18" s="748"/>
      <c r="M18" s="748"/>
      <c r="N18" s="743">
        <f t="shared" si="0"/>
        <v>0</v>
      </c>
      <c r="O18" s="717"/>
      <c r="P18" s="717"/>
      <c r="Q18" s="717"/>
      <c r="R18" s="717"/>
      <c r="S18" s="717"/>
      <c r="T18" s="717"/>
    </row>
    <row r="19" spans="1:20" hidden="1" outlineLevel="1" x14ac:dyDescent="0.2">
      <c r="A19" s="744"/>
      <c r="B19" s="744"/>
      <c r="C19" s="745"/>
      <c r="D19" s="746"/>
      <c r="E19" s="746"/>
      <c r="F19" s="746"/>
      <c r="G19" s="746"/>
      <c r="H19" s="747"/>
      <c r="I19" s="746"/>
      <c r="J19" s="748"/>
      <c r="K19" s="746"/>
      <c r="L19" s="748"/>
      <c r="M19" s="748"/>
      <c r="N19" s="743">
        <f t="shared" si="0"/>
        <v>0</v>
      </c>
      <c r="O19" s="717"/>
      <c r="P19" s="717"/>
      <c r="Q19" s="717"/>
      <c r="R19" s="717"/>
      <c r="S19" s="717"/>
      <c r="T19" s="717"/>
    </row>
    <row r="20" spans="1:20" hidden="1" outlineLevel="1" x14ac:dyDescent="0.2">
      <c r="A20" s="744"/>
      <c r="B20" s="744"/>
      <c r="C20" s="745"/>
      <c r="D20" s="746"/>
      <c r="E20" s="746"/>
      <c r="F20" s="746"/>
      <c r="G20" s="746"/>
      <c r="H20" s="747"/>
      <c r="I20" s="746"/>
      <c r="J20" s="748"/>
      <c r="K20" s="746"/>
      <c r="L20" s="748"/>
      <c r="M20" s="748"/>
      <c r="N20" s="743">
        <f t="shared" si="0"/>
        <v>0</v>
      </c>
      <c r="O20" s="717"/>
      <c r="P20" s="717"/>
      <c r="Q20" s="717"/>
      <c r="R20" s="717"/>
      <c r="S20" s="717"/>
      <c r="T20" s="717"/>
    </row>
    <row r="21" spans="1:20" hidden="1" outlineLevel="1" x14ac:dyDescent="0.2">
      <c r="A21" s="744"/>
      <c r="B21" s="744"/>
      <c r="C21" s="745"/>
      <c r="D21" s="746"/>
      <c r="E21" s="746"/>
      <c r="F21" s="746"/>
      <c r="G21" s="746"/>
      <c r="H21" s="747"/>
      <c r="I21" s="746"/>
      <c r="J21" s="748"/>
      <c r="K21" s="746"/>
      <c r="L21" s="748"/>
      <c r="M21" s="748"/>
      <c r="N21" s="743">
        <f t="shared" si="0"/>
        <v>0</v>
      </c>
      <c r="O21" s="717"/>
      <c r="P21" s="717"/>
      <c r="Q21" s="717"/>
      <c r="R21" s="717"/>
      <c r="S21" s="717"/>
      <c r="T21" s="717"/>
    </row>
    <row r="22" spans="1:20" hidden="1" outlineLevel="1" x14ac:dyDescent="0.2">
      <c r="A22" s="744"/>
      <c r="B22" s="744"/>
      <c r="C22" s="745"/>
      <c r="D22" s="746"/>
      <c r="E22" s="746"/>
      <c r="F22" s="746"/>
      <c r="G22" s="746"/>
      <c r="H22" s="749"/>
      <c r="I22" s="746"/>
      <c r="J22" s="748"/>
      <c r="K22" s="746"/>
      <c r="L22" s="748"/>
      <c r="M22" s="748"/>
      <c r="N22" s="743">
        <f t="shared" si="0"/>
        <v>0</v>
      </c>
      <c r="O22" s="717"/>
      <c r="P22" s="717"/>
      <c r="Q22" s="717"/>
      <c r="R22" s="717"/>
      <c r="S22" s="717"/>
      <c r="T22" s="717"/>
    </row>
    <row r="23" spans="1:20" hidden="1" outlineLevel="1" x14ac:dyDescent="0.2">
      <c r="A23" s="744"/>
      <c r="B23" s="744"/>
      <c r="C23" s="745"/>
      <c r="D23" s="746"/>
      <c r="E23" s="746"/>
      <c r="F23" s="746"/>
      <c r="G23" s="746"/>
      <c r="H23" s="749"/>
      <c r="I23" s="746"/>
      <c r="J23" s="748"/>
      <c r="K23" s="746"/>
      <c r="L23" s="748"/>
      <c r="M23" s="748"/>
      <c r="N23" s="743">
        <f t="shared" si="0"/>
        <v>0</v>
      </c>
      <c r="O23" s="717"/>
      <c r="P23" s="717"/>
      <c r="Q23" s="717"/>
      <c r="R23" s="717"/>
      <c r="S23" s="717"/>
      <c r="T23" s="717"/>
    </row>
    <row r="24" spans="1:20" hidden="1" outlineLevel="1" x14ac:dyDescent="0.2">
      <c r="A24" s="744"/>
      <c r="B24" s="744"/>
      <c r="C24" s="745"/>
      <c r="D24" s="746"/>
      <c r="E24" s="746"/>
      <c r="F24" s="746"/>
      <c r="G24" s="746"/>
      <c r="H24" s="749"/>
      <c r="I24" s="746"/>
      <c r="J24" s="748"/>
      <c r="K24" s="746"/>
      <c r="L24" s="748"/>
      <c r="M24" s="748"/>
      <c r="N24" s="743">
        <f t="shared" si="0"/>
        <v>0</v>
      </c>
      <c r="O24" s="717"/>
      <c r="P24" s="717"/>
      <c r="Q24" s="717"/>
      <c r="R24" s="717"/>
      <c r="S24" s="717"/>
      <c r="T24" s="717"/>
    </row>
    <row r="25" spans="1:20" hidden="1" outlineLevel="1" x14ac:dyDescent="0.2">
      <c r="A25" s="744"/>
      <c r="B25" s="744"/>
      <c r="C25" s="745"/>
      <c r="D25" s="746"/>
      <c r="E25" s="740"/>
      <c r="F25" s="746"/>
      <c r="G25" s="746"/>
      <c r="H25" s="749"/>
      <c r="I25" s="746"/>
      <c r="J25" s="748"/>
      <c r="K25" s="746"/>
      <c r="L25" s="748"/>
      <c r="M25" s="748"/>
      <c r="N25" s="743">
        <f t="shared" si="0"/>
        <v>0</v>
      </c>
      <c r="O25" s="717"/>
      <c r="P25" s="717"/>
      <c r="Q25" s="717"/>
      <c r="R25" s="717"/>
      <c r="S25" s="717"/>
      <c r="T25" s="717"/>
    </row>
    <row r="26" spans="1:20" hidden="1" outlineLevel="1" x14ac:dyDescent="0.2">
      <c r="A26" s="744"/>
      <c r="B26" s="744"/>
      <c r="C26" s="745"/>
      <c r="D26" s="746"/>
      <c r="E26" s="746"/>
      <c r="F26" s="746"/>
      <c r="G26" s="746"/>
      <c r="H26" s="749"/>
      <c r="I26" s="746"/>
      <c r="J26" s="748"/>
      <c r="K26" s="746"/>
      <c r="L26" s="748"/>
      <c r="M26" s="748"/>
      <c r="N26" s="743">
        <f t="shared" si="0"/>
        <v>0</v>
      </c>
      <c r="O26" s="717"/>
      <c r="P26" s="717"/>
      <c r="Q26" s="717"/>
      <c r="R26" s="717"/>
      <c r="S26" s="717"/>
      <c r="T26" s="717"/>
    </row>
    <row r="27" spans="1:20" hidden="1" outlineLevel="1" x14ac:dyDescent="0.2">
      <c r="A27" s="744"/>
      <c r="B27" s="744"/>
      <c r="C27" s="745"/>
      <c r="D27" s="746"/>
      <c r="E27" s="746"/>
      <c r="F27" s="746"/>
      <c r="G27" s="746"/>
      <c r="H27" s="749"/>
      <c r="I27" s="746"/>
      <c r="J27" s="748"/>
      <c r="K27" s="746"/>
      <c r="L27" s="748"/>
      <c r="M27" s="748"/>
      <c r="N27" s="743">
        <f t="shared" si="0"/>
        <v>0</v>
      </c>
      <c r="O27" s="717"/>
      <c r="P27" s="717"/>
      <c r="Q27" s="717"/>
      <c r="R27" s="717"/>
      <c r="S27" s="717"/>
      <c r="T27" s="717"/>
    </row>
    <row r="28" spans="1:20" hidden="1" outlineLevel="1" x14ac:dyDescent="0.2">
      <c r="A28" s="744"/>
      <c r="B28" s="744"/>
      <c r="C28" s="745"/>
      <c r="D28" s="746"/>
      <c r="E28" s="746"/>
      <c r="F28" s="746"/>
      <c r="G28" s="746"/>
      <c r="H28" s="749"/>
      <c r="I28" s="746"/>
      <c r="J28" s="748"/>
      <c r="K28" s="746"/>
      <c r="L28" s="748"/>
      <c r="M28" s="748"/>
      <c r="N28" s="743">
        <f t="shared" si="0"/>
        <v>0</v>
      </c>
      <c r="O28" s="717"/>
      <c r="P28" s="717"/>
      <c r="Q28" s="717"/>
      <c r="R28" s="717"/>
      <c r="S28" s="717"/>
      <c r="T28" s="717"/>
    </row>
    <row r="29" spans="1:20" hidden="1" outlineLevel="1" x14ac:dyDescent="0.2">
      <c r="A29" s="744"/>
      <c r="B29" s="744"/>
      <c r="C29" s="745"/>
      <c r="D29" s="746"/>
      <c r="E29" s="746"/>
      <c r="F29" s="746"/>
      <c r="G29" s="746"/>
      <c r="H29" s="749"/>
      <c r="I29" s="746"/>
      <c r="J29" s="748"/>
      <c r="K29" s="746"/>
      <c r="L29" s="748"/>
      <c r="M29" s="748"/>
      <c r="N29" s="743">
        <f t="shared" si="0"/>
        <v>0</v>
      </c>
      <c r="O29" s="717"/>
      <c r="P29" s="717"/>
      <c r="Q29" s="717"/>
      <c r="R29" s="717"/>
      <c r="S29" s="717"/>
      <c r="T29" s="717"/>
    </row>
    <row r="30" spans="1:20" hidden="1" outlineLevel="1" x14ac:dyDescent="0.2">
      <c r="A30" s="744"/>
      <c r="B30" s="744"/>
      <c r="C30" s="745"/>
      <c r="D30" s="746"/>
      <c r="E30" s="746"/>
      <c r="F30" s="746"/>
      <c r="G30" s="746"/>
      <c r="H30" s="749"/>
      <c r="I30" s="746"/>
      <c r="J30" s="748"/>
      <c r="K30" s="746"/>
      <c r="L30" s="748"/>
      <c r="M30" s="748"/>
      <c r="N30" s="743">
        <f t="shared" si="0"/>
        <v>0</v>
      </c>
      <c r="O30" s="717"/>
      <c r="P30" s="717"/>
      <c r="Q30" s="717"/>
      <c r="R30" s="717"/>
      <c r="S30" s="717"/>
      <c r="T30" s="717"/>
    </row>
    <row r="31" spans="1:20" hidden="1" outlineLevel="1" x14ac:dyDescent="0.2">
      <c r="A31" s="744"/>
      <c r="B31" s="744"/>
      <c r="C31" s="745"/>
      <c r="D31" s="746"/>
      <c r="E31" s="746"/>
      <c r="F31" s="746"/>
      <c r="G31" s="746"/>
      <c r="H31" s="749"/>
      <c r="I31" s="746"/>
      <c r="J31" s="748"/>
      <c r="K31" s="746"/>
      <c r="L31" s="748"/>
      <c r="M31" s="748"/>
      <c r="N31" s="743">
        <f t="shared" si="0"/>
        <v>0</v>
      </c>
      <c r="O31" s="717"/>
      <c r="P31" s="717"/>
      <c r="Q31" s="717"/>
      <c r="R31" s="717"/>
      <c r="S31" s="717"/>
      <c r="T31" s="717"/>
    </row>
    <row r="32" spans="1:20" hidden="1" outlineLevel="1" x14ac:dyDescent="0.2">
      <c r="A32" s="744"/>
      <c r="B32" s="744"/>
      <c r="C32" s="745"/>
      <c r="D32" s="746"/>
      <c r="E32" s="746"/>
      <c r="F32" s="746"/>
      <c r="G32" s="746"/>
      <c r="H32" s="749"/>
      <c r="I32" s="746"/>
      <c r="J32" s="748"/>
      <c r="K32" s="746"/>
      <c r="L32" s="748"/>
      <c r="M32" s="748"/>
      <c r="N32" s="743">
        <f t="shared" si="0"/>
        <v>0</v>
      </c>
      <c r="O32" s="717"/>
      <c r="P32" s="717"/>
      <c r="Q32" s="717"/>
      <c r="R32" s="717"/>
      <c r="S32" s="717"/>
      <c r="T32" s="717"/>
    </row>
    <row r="33" spans="1:20" hidden="1" outlineLevel="1" x14ac:dyDescent="0.2">
      <c r="A33" s="744"/>
      <c r="B33" s="744"/>
      <c r="C33" s="745"/>
      <c r="D33" s="746"/>
      <c r="E33" s="746"/>
      <c r="F33" s="746"/>
      <c r="G33" s="746"/>
      <c r="H33" s="749"/>
      <c r="I33" s="746"/>
      <c r="J33" s="748"/>
      <c r="K33" s="746"/>
      <c r="L33" s="748"/>
      <c r="M33" s="748"/>
      <c r="N33" s="743">
        <f t="shared" si="0"/>
        <v>0</v>
      </c>
      <c r="O33" s="717"/>
      <c r="P33" s="717"/>
      <c r="Q33" s="717"/>
      <c r="R33" s="717"/>
      <c r="S33" s="717"/>
      <c r="T33" s="717"/>
    </row>
    <row r="34" spans="1:20" hidden="1" outlineLevel="1" x14ac:dyDescent="0.2">
      <c r="A34" s="744"/>
      <c r="B34" s="744"/>
      <c r="C34" s="745"/>
      <c r="D34" s="746"/>
      <c r="E34" s="746"/>
      <c r="F34" s="746"/>
      <c r="G34" s="746"/>
      <c r="H34" s="749"/>
      <c r="I34" s="746"/>
      <c r="J34" s="748"/>
      <c r="K34" s="746"/>
      <c r="L34" s="748"/>
      <c r="M34" s="748"/>
      <c r="N34" s="743">
        <f t="shared" si="0"/>
        <v>0</v>
      </c>
      <c r="O34" s="717"/>
      <c r="P34" s="717"/>
      <c r="Q34" s="717"/>
      <c r="R34" s="717"/>
      <c r="S34" s="717"/>
      <c r="T34" s="717"/>
    </row>
    <row r="35" spans="1:20" hidden="1" outlineLevel="1" x14ac:dyDescent="0.2">
      <c r="A35" s="744"/>
      <c r="B35" s="744"/>
      <c r="C35" s="745"/>
      <c r="D35" s="746"/>
      <c r="E35" s="746"/>
      <c r="F35" s="746"/>
      <c r="G35" s="746"/>
      <c r="H35" s="749"/>
      <c r="I35" s="746"/>
      <c r="J35" s="748"/>
      <c r="K35" s="746"/>
      <c r="L35" s="748"/>
      <c r="M35" s="748"/>
      <c r="N35" s="743">
        <f t="shared" si="0"/>
        <v>0</v>
      </c>
      <c r="O35" s="717"/>
      <c r="P35" s="717"/>
      <c r="Q35" s="717"/>
      <c r="R35" s="717"/>
      <c r="S35" s="717"/>
      <c r="T35" s="717"/>
    </row>
    <row r="36" spans="1:20" hidden="1" outlineLevel="1" x14ac:dyDescent="0.2">
      <c r="A36" s="744"/>
      <c r="B36" s="744"/>
      <c r="C36" s="745"/>
      <c r="D36" s="746"/>
      <c r="E36" s="746"/>
      <c r="F36" s="746"/>
      <c r="G36" s="746"/>
      <c r="H36" s="749"/>
      <c r="I36" s="746"/>
      <c r="J36" s="748"/>
      <c r="K36" s="746"/>
      <c r="L36" s="748"/>
      <c r="M36" s="748"/>
      <c r="N36" s="743">
        <f t="shared" si="0"/>
        <v>0</v>
      </c>
      <c r="O36" s="717"/>
      <c r="P36" s="717"/>
      <c r="Q36" s="717"/>
      <c r="R36" s="717"/>
      <c r="S36" s="717"/>
      <c r="T36" s="717"/>
    </row>
    <row r="37" spans="1:20" hidden="1" outlineLevel="1" x14ac:dyDescent="0.2">
      <c r="A37" s="744"/>
      <c r="B37" s="744"/>
      <c r="C37" s="745"/>
      <c r="D37" s="746"/>
      <c r="E37" s="746"/>
      <c r="F37" s="746"/>
      <c r="G37" s="746"/>
      <c r="H37" s="749"/>
      <c r="I37" s="746"/>
      <c r="J37" s="748"/>
      <c r="K37" s="746"/>
      <c r="L37" s="748"/>
      <c r="M37" s="748"/>
      <c r="N37" s="743">
        <f t="shared" si="0"/>
        <v>0</v>
      </c>
      <c r="O37" s="717"/>
      <c r="P37" s="717"/>
      <c r="Q37" s="717"/>
      <c r="R37" s="717"/>
      <c r="S37" s="717"/>
      <c r="T37" s="717"/>
    </row>
    <row r="38" spans="1:20" hidden="1" outlineLevel="1" x14ac:dyDescent="0.2">
      <c r="A38" s="744"/>
      <c r="B38" s="744"/>
      <c r="C38" s="745"/>
      <c r="D38" s="746"/>
      <c r="E38" s="746"/>
      <c r="F38" s="746"/>
      <c r="G38" s="746"/>
      <c r="H38" s="749"/>
      <c r="I38" s="746"/>
      <c r="J38" s="748"/>
      <c r="K38" s="746"/>
      <c r="L38" s="748"/>
      <c r="M38" s="748"/>
      <c r="N38" s="743">
        <f t="shared" si="0"/>
        <v>0</v>
      </c>
      <c r="O38" s="717"/>
      <c r="P38" s="717"/>
      <c r="Q38" s="717"/>
      <c r="R38" s="717"/>
      <c r="S38" s="717"/>
      <c r="T38" s="717"/>
    </row>
    <row r="39" spans="1:20" hidden="1" outlineLevel="1" x14ac:dyDescent="0.2">
      <c r="A39" s="744"/>
      <c r="B39" s="744"/>
      <c r="C39" s="745"/>
      <c r="D39" s="746"/>
      <c r="E39" s="746"/>
      <c r="F39" s="746"/>
      <c r="G39" s="746"/>
      <c r="H39" s="749"/>
      <c r="I39" s="746"/>
      <c r="J39" s="748"/>
      <c r="K39" s="746"/>
      <c r="L39" s="748"/>
      <c r="M39" s="748"/>
      <c r="N39" s="743">
        <f t="shared" si="0"/>
        <v>0</v>
      </c>
      <c r="O39" s="717"/>
      <c r="P39" s="717"/>
      <c r="Q39" s="717"/>
      <c r="R39" s="717"/>
      <c r="S39" s="717"/>
      <c r="T39" s="717"/>
    </row>
    <row r="40" spans="1:20" hidden="1" outlineLevel="1" x14ac:dyDescent="0.2">
      <c r="A40" s="744"/>
      <c r="B40" s="744"/>
      <c r="C40" s="745"/>
      <c r="D40" s="746"/>
      <c r="E40" s="746"/>
      <c r="F40" s="746"/>
      <c r="G40" s="746"/>
      <c r="H40" s="749"/>
      <c r="I40" s="746"/>
      <c r="J40" s="748"/>
      <c r="K40" s="746"/>
      <c r="L40" s="748"/>
      <c r="M40" s="748"/>
      <c r="N40" s="743">
        <f t="shared" si="0"/>
        <v>0</v>
      </c>
      <c r="O40" s="717"/>
      <c r="P40" s="717"/>
      <c r="Q40" s="717"/>
      <c r="R40" s="717"/>
      <c r="S40" s="717"/>
      <c r="T40" s="717"/>
    </row>
    <row r="41" spans="1:20" hidden="1" outlineLevel="1" x14ac:dyDescent="0.2">
      <c r="A41" s="744"/>
      <c r="B41" s="744"/>
      <c r="C41" s="745"/>
      <c r="D41" s="746"/>
      <c r="E41" s="746"/>
      <c r="F41" s="746"/>
      <c r="G41" s="746"/>
      <c r="H41" s="749"/>
      <c r="I41" s="746"/>
      <c r="J41" s="748"/>
      <c r="K41" s="746"/>
      <c r="L41" s="748"/>
      <c r="M41" s="748"/>
      <c r="N41" s="743">
        <f t="shared" si="0"/>
        <v>0</v>
      </c>
      <c r="O41" s="717"/>
      <c r="P41" s="717"/>
      <c r="Q41" s="717"/>
      <c r="R41" s="717"/>
      <c r="S41" s="717"/>
      <c r="T41" s="717"/>
    </row>
    <row r="42" spans="1:20" hidden="1" outlineLevel="1" x14ac:dyDescent="0.2">
      <c r="A42" s="744"/>
      <c r="B42" s="744"/>
      <c r="C42" s="745"/>
      <c r="D42" s="746"/>
      <c r="E42" s="746"/>
      <c r="F42" s="746"/>
      <c r="G42" s="746"/>
      <c r="H42" s="749"/>
      <c r="I42" s="746"/>
      <c r="J42" s="748"/>
      <c r="K42" s="746"/>
      <c r="L42" s="748"/>
      <c r="M42" s="748"/>
      <c r="N42" s="743">
        <f t="shared" si="0"/>
        <v>0</v>
      </c>
      <c r="O42" s="717"/>
      <c r="P42" s="717"/>
      <c r="Q42" s="717"/>
      <c r="R42" s="717"/>
      <c r="S42" s="717"/>
      <c r="T42" s="717"/>
    </row>
    <row r="43" spans="1:20" hidden="1" outlineLevel="1" x14ac:dyDescent="0.2">
      <c r="A43" s="744"/>
      <c r="B43" s="744"/>
      <c r="C43" s="745"/>
      <c r="D43" s="746"/>
      <c r="E43" s="746"/>
      <c r="F43" s="746"/>
      <c r="G43" s="746"/>
      <c r="H43" s="749"/>
      <c r="I43" s="746"/>
      <c r="J43" s="748"/>
      <c r="K43" s="746"/>
      <c r="L43" s="748"/>
      <c r="M43" s="748"/>
      <c r="N43" s="743">
        <f t="shared" si="0"/>
        <v>0</v>
      </c>
      <c r="O43" s="717"/>
      <c r="P43" s="717"/>
      <c r="Q43" s="717"/>
      <c r="R43" s="717"/>
      <c r="S43" s="717"/>
      <c r="T43" s="717"/>
    </row>
    <row r="44" spans="1:20" hidden="1" outlineLevel="1" x14ac:dyDescent="0.2">
      <c r="A44" s="744"/>
      <c r="B44" s="744"/>
      <c r="C44" s="745"/>
      <c r="D44" s="746"/>
      <c r="E44" s="746"/>
      <c r="F44" s="746"/>
      <c r="G44" s="746"/>
      <c r="H44" s="749"/>
      <c r="I44" s="746"/>
      <c r="J44" s="748"/>
      <c r="K44" s="746"/>
      <c r="L44" s="748"/>
      <c r="M44" s="748"/>
      <c r="N44" s="743">
        <f t="shared" si="0"/>
        <v>0</v>
      </c>
      <c r="O44" s="717"/>
      <c r="P44" s="717"/>
      <c r="Q44" s="717"/>
      <c r="R44" s="717"/>
      <c r="S44" s="717"/>
      <c r="T44" s="717"/>
    </row>
    <row r="45" spans="1:20" hidden="1" outlineLevel="1" x14ac:dyDescent="0.2">
      <c r="A45" s="744"/>
      <c r="B45" s="744"/>
      <c r="C45" s="745"/>
      <c r="D45" s="746"/>
      <c r="E45" s="746"/>
      <c r="F45" s="746"/>
      <c r="G45" s="746"/>
      <c r="H45" s="749"/>
      <c r="I45" s="746"/>
      <c r="J45" s="748"/>
      <c r="K45" s="746"/>
      <c r="L45" s="748"/>
      <c r="M45" s="748"/>
      <c r="N45" s="743">
        <f t="shared" ref="N45:N76" si="1">+E45+F45+G45+H45+I45-J45+K45-L45-M45</f>
        <v>0</v>
      </c>
      <c r="O45" s="717"/>
      <c r="P45" s="717"/>
      <c r="Q45" s="717"/>
      <c r="R45" s="717"/>
      <c r="S45" s="717"/>
      <c r="T45" s="717"/>
    </row>
    <row r="46" spans="1:20" hidden="1" outlineLevel="1" x14ac:dyDescent="0.2">
      <c r="A46" s="744"/>
      <c r="B46" s="744"/>
      <c r="C46" s="745"/>
      <c r="D46" s="746"/>
      <c r="E46" s="746"/>
      <c r="F46" s="746"/>
      <c r="G46" s="746"/>
      <c r="H46" s="749"/>
      <c r="I46" s="746"/>
      <c r="J46" s="748"/>
      <c r="K46" s="746"/>
      <c r="L46" s="748"/>
      <c r="M46" s="748"/>
      <c r="N46" s="743">
        <f t="shared" si="1"/>
        <v>0</v>
      </c>
      <c r="O46" s="717"/>
      <c r="P46" s="717"/>
      <c r="Q46" s="717"/>
      <c r="R46" s="717"/>
      <c r="S46" s="717"/>
      <c r="T46" s="717"/>
    </row>
    <row r="47" spans="1:20" hidden="1" outlineLevel="1" x14ac:dyDescent="0.2">
      <c r="A47" s="744"/>
      <c r="B47" s="744"/>
      <c r="C47" s="745"/>
      <c r="D47" s="746"/>
      <c r="E47" s="746"/>
      <c r="F47" s="746"/>
      <c r="G47" s="746"/>
      <c r="H47" s="749"/>
      <c r="I47" s="746"/>
      <c r="J47" s="748"/>
      <c r="K47" s="746"/>
      <c r="L47" s="748"/>
      <c r="M47" s="748"/>
      <c r="N47" s="743">
        <f t="shared" si="1"/>
        <v>0</v>
      </c>
      <c r="O47" s="717"/>
      <c r="P47" s="717"/>
      <c r="Q47" s="717"/>
      <c r="R47" s="717"/>
      <c r="S47" s="717"/>
      <c r="T47" s="717"/>
    </row>
    <row r="48" spans="1:20" hidden="1" outlineLevel="1" x14ac:dyDescent="0.2">
      <c r="A48" s="744"/>
      <c r="B48" s="744"/>
      <c r="C48" s="745"/>
      <c r="D48" s="746"/>
      <c r="E48" s="746"/>
      <c r="F48" s="746"/>
      <c r="G48" s="746"/>
      <c r="H48" s="749"/>
      <c r="I48" s="746"/>
      <c r="J48" s="748"/>
      <c r="K48" s="746"/>
      <c r="L48" s="748"/>
      <c r="M48" s="748"/>
      <c r="N48" s="743">
        <f t="shared" si="1"/>
        <v>0</v>
      </c>
      <c r="O48" s="717"/>
      <c r="P48" s="717"/>
      <c r="Q48" s="717"/>
      <c r="R48" s="717"/>
      <c r="S48" s="717"/>
      <c r="T48" s="717"/>
    </row>
    <row r="49" spans="1:20" hidden="1" outlineLevel="1" x14ac:dyDescent="0.2">
      <c r="A49" s="744"/>
      <c r="B49" s="744"/>
      <c r="C49" s="745"/>
      <c r="D49" s="746"/>
      <c r="E49" s="746"/>
      <c r="F49" s="746"/>
      <c r="G49" s="746"/>
      <c r="H49" s="749"/>
      <c r="I49" s="746"/>
      <c r="J49" s="748"/>
      <c r="K49" s="746"/>
      <c r="L49" s="748"/>
      <c r="M49" s="748"/>
      <c r="N49" s="743">
        <f t="shared" si="1"/>
        <v>0</v>
      </c>
      <c r="O49" s="717"/>
      <c r="P49" s="717"/>
      <c r="Q49" s="717"/>
      <c r="R49" s="717"/>
      <c r="S49" s="717"/>
      <c r="T49" s="717"/>
    </row>
    <row r="50" spans="1:20" hidden="1" outlineLevel="1" x14ac:dyDescent="0.2">
      <c r="A50" s="744"/>
      <c r="B50" s="744"/>
      <c r="C50" s="745"/>
      <c r="D50" s="746"/>
      <c r="E50" s="746"/>
      <c r="F50" s="746"/>
      <c r="G50" s="746"/>
      <c r="H50" s="749"/>
      <c r="I50" s="746"/>
      <c r="J50" s="748"/>
      <c r="K50" s="746"/>
      <c r="L50" s="748"/>
      <c r="M50" s="748"/>
      <c r="N50" s="743">
        <f t="shared" si="1"/>
        <v>0</v>
      </c>
      <c r="O50" s="717"/>
      <c r="P50" s="717"/>
      <c r="Q50" s="717"/>
      <c r="R50" s="717"/>
      <c r="S50" s="717"/>
      <c r="T50" s="717"/>
    </row>
    <row r="51" spans="1:20" hidden="1" outlineLevel="1" x14ac:dyDescent="0.2">
      <c r="A51" s="744"/>
      <c r="B51" s="744"/>
      <c r="C51" s="745"/>
      <c r="D51" s="746"/>
      <c r="E51" s="746"/>
      <c r="F51" s="746"/>
      <c r="G51" s="746"/>
      <c r="H51" s="749"/>
      <c r="I51" s="746"/>
      <c r="J51" s="748"/>
      <c r="K51" s="746"/>
      <c r="L51" s="748"/>
      <c r="M51" s="748"/>
      <c r="N51" s="743">
        <f t="shared" si="1"/>
        <v>0</v>
      </c>
      <c r="O51" s="717"/>
      <c r="P51" s="717"/>
      <c r="Q51" s="717"/>
      <c r="R51" s="717"/>
      <c r="S51" s="717"/>
      <c r="T51" s="717"/>
    </row>
    <row r="52" spans="1:20" hidden="1" outlineLevel="1" x14ac:dyDescent="0.2">
      <c r="A52" s="744"/>
      <c r="B52" s="744"/>
      <c r="C52" s="745"/>
      <c r="D52" s="746"/>
      <c r="E52" s="746"/>
      <c r="F52" s="746"/>
      <c r="G52" s="746"/>
      <c r="H52" s="749"/>
      <c r="I52" s="746"/>
      <c r="J52" s="748"/>
      <c r="K52" s="746"/>
      <c r="L52" s="748"/>
      <c r="M52" s="748"/>
      <c r="N52" s="743">
        <f t="shared" si="1"/>
        <v>0</v>
      </c>
      <c r="O52" s="717"/>
      <c r="P52" s="717"/>
      <c r="Q52" s="717"/>
      <c r="R52" s="717"/>
      <c r="S52" s="717"/>
      <c r="T52" s="717"/>
    </row>
    <row r="53" spans="1:20" hidden="1" outlineLevel="1" x14ac:dyDescent="0.2">
      <c r="A53" s="744"/>
      <c r="B53" s="744"/>
      <c r="C53" s="745"/>
      <c r="D53" s="746"/>
      <c r="E53" s="746"/>
      <c r="F53" s="746"/>
      <c r="G53" s="746"/>
      <c r="H53" s="749"/>
      <c r="I53" s="746"/>
      <c r="J53" s="748"/>
      <c r="K53" s="746"/>
      <c r="L53" s="748"/>
      <c r="M53" s="748"/>
      <c r="N53" s="743">
        <f t="shared" si="1"/>
        <v>0</v>
      </c>
      <c r="O53" s="717"/>
      <c r="P53" s="717"/>
      <c r="Q53" s="717"/>
      <c r="R53" s="717"/>
      <c r="S53" s="717"/>
      <c r="T53" s="717"/>
    </row>
    <row r="54" spans="1:20" hidden="1" outlineLevel="1" x14ac:dyDescent="0.2">
      <c r="A54" s="744"/>
      <c r="B54" s="744"/>
      <c r="C54" s="745"/>
      <c r="D54" s="746"/>
      <c r="E54" s="746"/>
      <c r="F54" s="746"/>
      <c r="G54" s="746"/>
      <c r="H54" s="749"/>
      <c r="I54" s="746"/>
      <c r="J54" s="748"/>
      <c r="K54" s="746"/>
      <c r="L54" s="748"/>
      <c r="M54" s="748"/>
      <c r="N54" s="743">
        <f t="shared" si="1"/>
        <v>0</v>
      </c>
      <c r="O54" s="717"/>
      <c r="P54" s="717"/>
      <c r="Q54" s="717"/>
      <c r="R54" s="717"/>
      <c r="S54" s="717"/>
      <c r="T54" s="717"/>
    </row>
    <row r="55" spans="1:20" hidden="1" outlineLevel="1" x14ac:dyDescent="0.2">
      <c r="A55" s="744"/>
      <c r="B55" s="744"/>
      <c r="C55" s="745"/>
      <c r="D55" s="746"/>
      <c r="E55" s="746"/>
      <c r="F55" s="746"/>
      <c r="G55" s="746"/>
      <c r="H55" s="749"/>
      <c r="I55" s="746"/>
      <c r="J55" s="748"/>
      <c r="K55" s="746"/>
      <c r="L55" s="748"/>
      <c r="M55" s="748"/>
      <c r="N55" s="743">
        <f t="shared" si="1"/>
        <v>0</v>
      </c>
      <c r="O55" s="717"/>
      <c r="P55" s="717"/>
      <c r="Q55" s="717"/>
      <c r="R55" s="717"/>
      <c r="S55" s="717"/>
      <c r="T55" s="717"/>
    </row>
    <row r="56" spans="1:20" hidden="1" outlineLevel="1" x14ac:dyDescent="0.2">
      <c r="A56" s="744"/>
      <c r="B56" s="744"/>
      <c r="C56" s="745"/>
      <c r="D56" s="746"/>
      <c r="E56" s="746"/>
      <c r="F56" s="746"/>
      <c r="G56" s="746"/>
      <c r="H56" s="749"/>
      <c r="I56" s="746"/>
      <c r="J56" s="748"/>
      <c r="K56" s="746"/>
      <c r="L56" s="748"/>
      <c r="M56" s="748"/>
      <c r="N56" s="743">
        <f t="shared" si="1"/>
        <v>0</v>
      </c>
      <c r="O56" s="717"/>
      <c r="P56" s="717"/>
      <c r="Q56" s="717"/>
      <c r="R56" s="717"/>
      <c r="S56" s="717"/>
      <c r="T56" s="717"/>
    </row>
    <row r="57" spans="1:20" hidden="1" outlineLevel="1" x14ac:dyDescent="0.2">
      <c r="A57" s="744"/>
      <c r="B57" s="744"/>
      <c r="C57" s="745"/>
      <c r="D57" s="746"/>
      <c r="E57" s="746"/>
      <c r="F57" s="746"/>
      <c r="G57" s="746"/>
      <c r="H57" s="749"/>
      <c r="I57" s="746"/>
      <c r="J57" s="748"/>
      <c r="K57" s="746"/>
      <c r="L57" s="748"/>
      <c r="M57" s="748"/>
      <c r="N57" s="743">
        <f t="shared" si="1"/>
        <v>0</v>
      </c>
      <c r="O57" s="717"/>
      <c r="P57" s="717"/>
      <c r="Q57" s="717"/>
      <c r="R57" s="717"/>
      <c r="S57" s="717"/>
      <c r="T57" s="717"/>
    </row>
    <row r="58" spans="1:20" hidden="1" outlineLevel="1" x14ac:dyDescent="0.2">
      <c r="A58" s="744"/>
      <c r="B58" s="744"/>
      <c r="C58" s="745"/>
      <c r="D58" s="746"/>
      <c r="E58" s="746"/>
      <c r="F58" s="746"/>
      <c r="G58" s="746"/>
      <c r="H58" s="749"/>
      <c r="I58" s="746"/>
      <c r="J58" s="748"/>
      <c r="K58" s="746"/>
      <c r="L58" s="748"/>
      <c r="M58" s="748"/>
      <c r="N58" s="743">
        <f t="shared" si="1"/>
        <v>0</v>
      </c>
      <c r="O58" s="717"/>
      <c r="P58" s="717"/>
      <c r="Q58" s="717"/>
      <c r="R58" s="717"/>
      <c r="S58" s="717"/>
      <c r="T58" s="717"/>
    </row>
    <row r="59" spans="1:20" hidden="1" outlineLevel="1" x14ac:dyDescent="0.2">
      <c r="A59" s="744"/>
      <c r="B59" s="744"/>
      <c r="C59" s="745"/>
      <c r="D59" s="746"/>
      <c r="E59" s="746"/>
      <c r="F59" s="746"/>
      <c r="G59" s="746"/>
      <c r="H59" s="749"/>
      <c r="I59" s="746"/>
      <c r="J59" s="748"/>
      <c r="K59" s="746"/>
      <c r="L59" s="748"/>
      <c r="M59" s="748"/>
      <c r="N59" s="743">
        <f t="shared" si="1"/>
        <v>0</v>
      </c>
      <c r="O59" s="717"/>
      <c r="P59" s="717"/>
      <c r="Q59" s="717"/>
      <c r="R59" s="717"/>
      <c r="S59" s="717"/>
      <c r="T59" s="717"/>
    </row>
    <row r="60" spans="1:20" hidden="1" outlineLevel="1" x14ac:dyDescent="0.2">
      <c r="A60" s="744"/>
      <c r="B60" s="744"/>
      <c r="C60" s="745"/>
      <c r="D60" s="746"/>
      <c r="E60" s="746"/>
      <c r="F60" s="746"/>
      <c r="G60" s="746"/>
      <c r="H60" s="749"/>
      <c r="I60" s="746"/>
      <c r="J60" s="748"/>
      <c r="K60" s="746"/>
      <c r="L60" s="748"/>
      <c r="M60" s="748"/>
      <c r="N60" s="743">
        <f t="shared" si="1"/>
        <v>0</v>
      </c>
      <c r="O60" s="717"/>
      <c r="P60" s="717"/>
      <c r="Q60" s="717"/>
      <c r="R60" s="717"/>
      <c r="S60" s="717"/>
      <c r="T60" s="717"/>
    </row>
    <row r="61" spans="1:20" hidden="1" outlineLevel="1" x14ac:dyDescent="0.2">
      <c r="A61" s="744"/>
      <c r="B61" s="744"/>
      <c r="C61" s="745"/>
      <c r="D61" s="746"/>
      <c r="E61" s="746"/>
      <c r="F61" s="746"/>
      <c r="G61" s="746"/>
      <c r="H61" s="749"/>
      <c r="I61" s="746"/>
      <c r="J61" s="748"/>
      <c r="K61" s="746"/>
      <c r="L61" s="748"/>
      <c r="M61" s="748"/>
      <c r="N61" s="743">
        <f t="shared" si="1"/>
        <v>0</v>
      </c>
      <c r="O61" s="717"/>
      <c r="P61" s="717"/>
      <c r="Q61" s="717"/>
      <c r="R61" s="717"/>
      <c r="S61" s="717"/>
      <c r="T61" s="717"/>
    </row>
    <row r="62" spans="1:20" hidden="1" outlineLevel="1" x14ac:dyDescent="0.2">
      <c r="A62" s="744"/>
      <c r="B62" s="744"/>
      <c r="C62" s="745"/>
      <c r="D62" s="746"/>
      <c r="E62" s="746"/>
      <c r="F62" s="746"/>
      <c r="G62" s="746"/>
      <c r="H62" s="749"/>
      <c r="I62" s="746"/>
      <c r="J62" s="748"/>
      <c r="K62" s="746"/>
      <c r="L62" s="748"/>
      <c r="M62" s="748"/>
      <c r="N62" s="743">
        <f t="shared" si="1"/>
        <v>0</v>
      </c>
      <c r="O62" s="717"/>
      <c r="P62" s="717"/>
      <c r="Q62" s="717"/>
      <c r="R62" s="717"/>
      <c r="S62" s="717"/>
      <c r="T62" s="717"/>
    </row>
    <row r="63" spans="1:20" hidden="1" outlineLevel="1" x14ac:dyDescent="0.2">
      <c r="A63" s="744"/>
      <c r="B63" s="744"/>
      <c r="C63" s="745"/>
      <c r="D63" s="746"/>
      <c r="E63" s="746"/>
      <c r="F63" s="746"/>
      <c r="G63" s="746"/>
      <c r="H63" s="749"/>
      <c r="I63" s="746"/>
      <c r="J63" s="748"/>
      <c r="K63" s="746"/>
      <c r="L63" s="748"/>
      <c r="M63" s="748"/>
      <c r="N63" s="743">
        <f t="shared" si="1"/>
        <v>0</v>
      </c>
      <c r="O63" s="717"/>
      <c r="P63" s="717"/>
      <c r="Q63" s="717"/>
      <c r="R63" s="717"/>
      <c r="S63" s="717"/>
      <c r="T63" s="717"/>
    </row>
    <row r="64" spans="1:20" hidden="1" outlineLevel="1" x14ac:dyDescent="0.2">
      <c r="A64" s="744"/>
      <c r="B64" s="744"/>
      <c r="C64" s="745"/>
      <c r="D64" s="746"/>
      <c r="E64" s="746"/>
      <c r="F64" s="746"/>
      <c r="G64" s="746"/>
      <c r="H64" s="749"/>
      <c r="I64" s="746"/>
      <c r="J64" s="748"/>
      <c r="K64" s="746"/>
      <c r="L64" s="748"/>
      <c r="M64" s="748"/>
      <c r="N64" s="743">
        <f t="shared" si="1"/>
        <v>0</v>
      </c>
      <c r="O64" s="717"/>
      <c r="P64" s="717"/>
      <c r="Q64" s="717"/>
      <c r="R64" s="717"/>
      <c r="S64" s="717"/>
      <c r="T64" s="717"/>
    </row>
    <row r="65" spans="1:20" hidden="1" outlineLevel="1" x14ac:dyDescent="0.2">
      <c r="A65" s="744"/>
      <c r="B65" s="744"/>
      <c r="C65" s="745"/>
      <c r="D65" s="746"/>
      <c r="E65" s="746"/>
      <c r="F65" s="746"/>
      <c r="G65" s="746"/>
      <c r="H65" s="749"/>
      <c r="I65" s="746"/>
      <c r="J65" s="748"/>
      <c r="K65" s="746"/>
      <c r="L65" s="748"/>
      <c r="M65" s="748"/>
      <c r="N65" s="743">
        <f t="shared" si="1"/>
        <v>0</v>
      </c>
      <c r="O65" s="717"/>
      <c r="P65" s="717"/>
      <c r="Q65" s="717"/>
      <c r="R65" s="717"/>
      <c r="S65" s="717"/>
      <c r="T65" s="717"/>
    </row>
    <row r="66" spans="1:20" hidden="1" outlineLevel="1" x14ac:dyDescent="0.2">
      <c r="A66" s="744"/>
      <c r="B66" s="744"/>
      <c r="C66" s="745"/>
      <c r="D66" s="746"/>
      <c r="E66" s="746"/>
      <c r="F66" s="746"/>
      <c r="G66" s="746"/>
      <c r="H66" s="749"/>
      <c r="I66" s="746"/>
      <c r="J66" s="748"/>
      <c r="K66" s="746"/>
      <c r="L66" s="748"/>
      <c r="M66" s="748"/>
      <c r="N66" s="743">
        <f t="shared" si="1"/>
        <v>0</v>
      </c>
      <c r="O66" s="717"/>
      <c r="P66" s="717"/>
      <c r="Q66" s="717"/>
      <c r="R66" s="717"/>
      <c r="S66" s="717"/>
      <c r="T66" s="717"/>
    </row>
    <row r="67" spans="1:20" hidden="1" outlineLevel="1" x14ac:dyDescent="0.2">
      <c r="A67" s="744"/>
      <c r="B67" s="744"/>
      <c r="C67" s="745"/>
      <c r="D67" s="746"/>
      <c r="E67" s="746"/>
      <c r="F67" s="746"/>
      <c r="G67" s="746"/>
      <c r="H67" s="749"/>
      <c r="I67" s="746"/>
      <c r="J67" s="748"/>
      <c r="K67" s="746"/>
      <c r="L67" s="748"/>
      <c r="M67" s="748"/>
      <c r="N67" s="743">
        <f t="shared" si="1"/>
        <v>0</v>
      </c>
      <c r="O67" s="717"/>
      <c r="P67" s="717"/>
      <c r="Q67" s="717"/>
      <c r="R67" s="717"/>
      <c r="S67" s="717"/>
      <c r="T67" s="717"/>
    </row>
    <row r="68" spans="1:20" hidden="1" outlineLevel="1" x14ac:dyDescent="0.2">
      <c r="A68" s="744"/>
      <c r="B68" s="744"/>
      <c r="C68" s="745"/>
      <c r="D68" s="746"/>
      <c r="E68" s="746"/>
      <c r="F68" s="746"/>
      <c r="G68" s="746"/>
      <c r="H68" s="749"/>
      <c r="I68" s="746"/>
      <c r="J68" s="748"/>
      <c r="K68" s="746"/>
      <c r="L68" s="748"/>
      <c r="M68" s="748"/>
      <c r="N68" s="743">
        <f t="shared" si="1"/>
        <v>0</v>
      </c>
      <c r="O68" s="717"/>
      <c r="P68" s="717"/>
      <c r="Q68" s="717"/>
      <c r="R68" s="717"/>
      <c r="S68" s="717"/>
      <c r="T68" s="717"/>
    </row>
    <row r="69" spans="1:20" hidden="1" outlineLevel="1" x14ac:dyDescent="0.2">
      <c r="A69" s="744"/>
      <c r="B69" s="744"/>
      <c r="C69" s="745"/>
      <c r="D69" s="746"/>
      <c r="E69" s="746"/>
      <c r="F69" s="746"/>
      <c r="G69" s="746"/>
      <c r="H69" s="749"/>
      <c r="I69" s="746"/>
      <c r="J69" s="748"/>
      <c r="K69" s="746"/>
      <c r="L69" s="748"/>
      <c r="M69" s="748"/>
      <c r="N69" s="743">
        <f t="shared" si="1"/>
        <v>0</v>
      </c>
      <c r="O69" s="717"/>
      <c r="P69" s="717"/>
      <c r="Q69" s="717"/>
      <c r="R69" s="717"/>
      <c r="S69" s="717"/>
      <c r="T69" s="717"/>
    </row>
    <row r="70" spans="1:20" hidden="1" outlineLevel="1" x14ac:dyDescent="0.2">
      <c r="A70" s="744"/>
      <c r="B70" s="744"/>
      <c r="C70" s="745"/>
      <c r="D70" s="746"/>
      <c r="E70" s="746"/>
      <c r="F70" s="746"/>
      <c r="G70" s="746"/>
      <c r="H70" s="749"/>
      <c r="I70" s="746"/>
      <c r="J70" s="748"/>
      <c r="K70" s="746"/>
      <c r="L70" s="748"/>
      <c r="M70" s="748"/>
      <c r="N70" s="743">
        <f t="shared" si="1"/>
        <v>0</v>
      </c>
      <c r="O70" s="717"/>
      <c r="P70" s="717"/>
      <c r="Q70" s="717"/>
      <c r="R70" s="717"/>
      <c r="S70" s="717"/>
      <c r="T70" s="717"/>
    </row>
    <row r="71" spans="1:20" hidden="1" outlineLevel="1" x14ac:dyDescent="0.2">
      <c r="A71" s="744"/>
      <c r="B71" s="744"/>
      <c r="C71" s="745"/>
      <c r="D71" s="746"/>
      <c r="E71" s="746"/>
      <c r="F71" s="746"/>
      <c r="G71" s="746"/>
      <c r="H71" s="749"/>
      <c r="I71" s="746"/>
      <c r="J71" s="748"/>
      <c r="K71" s="746"/>
      <c r="L71" s="748"/>
      <c r="M71" s="748"/>
      <c r="N71" s="743">
        <f t="shared" si="1"/>
        <v>0</v>
      </c>
      <c r="O71" s="717"/>
      <c r="P71" s="717"/>
      <c r="Q71" s="717"/>
      <c r="R71" s="717"/>
      <c r="S71" s="717"/>
      <c r="T71" s="717"/>
    </row>
    <row r="72" spans="1:20" hidden="1" outlineLevel="1" x14ac:dyDescent="0.2">
      <c r="A72" s="744"/>
      <c r="B72" s="744"/>
      <c r="C72" s="745"/>
      <c r="D72" s="746"/>
      <c r="E72" s="746"/>
      <c r="F72" s="746"/>
      <c r="G72" s="746"/>
      <c r="H72" s="749"/>
      <c r="I72" s="746"/>
      <c r="J72" s="748"/>
      <c r="K72" s="746"/>
      <c r="L72" s="748"/>
      <c r="M72" s="748"/>
      <c r="N72" s="743">
        <f t="shared" si="1"/>
        <v>0</v>
      </c>
      <c r="O72" s="717"/>
      <c r="P72" s="717"/>
      <c r="Q72" s="717"/>
      <c r="R72" s="717"/>
      <c r="S72" s="717"/>
      <c r="T72" s="717"/>
    </row>
    <row r="73" spans="1:20" hidden="1" outlineLevel="1" x14ac:dyDescent="0.2">
      <c r="A73" s="744"/>
      <c r="B73" s="744"/>
      <c r="C73" s="745"/>
      <c r="D73" s="746"/>
      <c r="E73" s="746"/>
      <c r="F73" s="746"/>
      <c r="G73" s="746"/>
      <c r="H73" s="749"/>
      <c r="I73" s="746"/>
      <c r="J73" s="748"/>
      <c r="K73" s="746"/>
      <c r="L73" s="748"/>
      <c r="M73" s="748"/>
      <c r="N73" s="743">
        <f t="shared" si="1"/>
        <v>0</v>
      </c>
      <c r="O73" s="717"/>
      <c r="P73" s="717"/>
      <c r="Q73" s="717"/>
      <c r="R73" s="717"/>
      <c r="S73" s="717"/>
      <c r="T73" s="717"/>
    </row>
    <row r="74" spans="1:20" hidden="1" outlineLevel="1" x14ac:dyDescent="0.2">
      <c r="A74" s="744"/>
      <c r="B74" s="744"/>
      <c r="C74" s="745"/>
      <c r="D74" s="746"/>
      <c r="E74" s="746"/>
      <c r="F74" s="746"/>
      <c r="G74" s="746"/>
      <c r="H74" s="749"/>
      <c r="I74" s="746"/>
      <c r="J74" s="748"/>
      <c r="K74" s="746"/>
      <c r="L74" s="748"/>
      <c r="M74" s="748"/>
      <c r="N74" s="743">
        <f t="shared" si="1"/>
        <v>0</v>
      </c>
      <c r="O74" s="717"/>
      <c r="P74" s="717"/>
      <c r="Q74" s="717"/>
      <c r="R74" s="717"/>
      <c r="S74" s="717"/>
      <c r="T74" s="717"/>
    </row>
    <row r="75" spans="1:20" hidden="1" outlineLevel="1" x14ac:dyDescent="0.2">
      <c r="A75" s="744"/>
      <c r="B75" s="744"/>
      <c r="C75" s="745"/>
      <c r="D75" s="746"/>
      <c r="E75" s="746"/>
      <c r="F75" s="746"/>
      <c r="G75" s="746"/>
      <c r="H75" s="749"/>
      <c r="I75" s="746"/>
      <c r="J75" s="748"/>
      <c r="K75" s="746"/>
      <c r="L75" s="748"/>
      <c r="M75" s="748"/>
      <c r="N75" s="743">
        <f t="shared" si="1"/>
        <v>0</v>
      </c>
      <c r="O75" s="717"/>
      <c r="P75" s="717"/>
      <c r="Q75" s="717"/>
      <c r="R75" s="717"/>
      <c r="S75" s="717"/>
      <c r="T75" s="717"/>
    </row>
    <row r="76" spans="1:20" hidden="1" outlineLevel="1" x14ac:dyDescent="0.2">
      <c r="A76" s="744"/>
      <c r="B76" s="744"/>
      <c r="C76" s="745"/>
      <c r="D76" s="746"/>
      <c r="E76" s="746"/>
      <c r="F76" s="746"/>
      <c r="G76" s="746"/>
      <c r="H76" s="749"/>
      <c r="I76" s="746"/>
      <c r="J76" s="748"/>
      <c r="K76" s="746"/>
      <c r="L76" s="748"/>
      <c r="M76" s="748"/>
      <c r="N76" s="743">
        <f t="shared" si="1"/>
        <v>0</v>
      </c>
      <c r="O76" s="717"/>
      <c r="P76" s="717"/>
      <c r="Q76" s="717"/>
      <c r="R76" s="717"/>
      <c r="S76" s="717"/>
      <c r="T76" s="717"/>
    </row>
    <row r="77" spans="1:20" hidden="1" outlineLevel="1" x14ac:dyDescent="0.2">
      <c r="A77" s="744"/>
      <c r="B77" s="744"/>
      <c r="C77" s="745"/>
      <c r="D77" s="746"/>
      <c r="E77" s="746"/>
      <c r="F77" s="746"/>
      <c r="G77" s="746"/>
      <c r="H77" s="749"/>
      <c r="I77" s="746"/>
      <c r="J77" s="748"/>
      <c r="K77" s="746"/>
      <c r="L77" s="748"/>
      <c r="M77" s="748"/>
      <c r="N77" s="743">
        <f t="shared" ref="N77:N108" si="2">+E77+F77+G77+H77+I77-J77+K77-L77-M77</f>
        <v>0</v>
      </c>
      <c r="O77" s="717"/>
      <c r="P77" s="717"/>
      <c r="Q77" s="717"/>
      <c r="R77" s="717"/>
      <c r="S77" s="717"/>
      <c r="T77" s="717"/>
    </row>
    <row r="78" spans="1:20" hidden="1" outlineLevel="1" x14ac:dyDescent="0.2">
      <c r="A78" s="744"/>
      <c r="B78" s="744"/>
      <c r="C78" s="745"/>
      <c r="D78" s="746"/>
      <c r="E78" s="746"/>
      <c r="F78" s="746"/>
      <c r="G78" s="746"/>
      <c r="H78" s="749"/>
      <c r="I78" s="746"/>
      <c r="J78" s="748"/>
      <c r="K78" s="746"/>
      <c r="L78" s="748"/>
      <c r="M78" s="748"/>
      <c r="N78" s="743">
        <f t="shared" si="2"/>
        <v>0</v>
      </c>
      <c r="O78" s="717"/>
      <c r="P78" s="717"/>
      <c r="Q78" s="717"/>
      <c r="R78" s="717"/>
      <c r="S78" s="717"/>
      <c r="T78" s="717"/>
    </row>
    <row r="79" spans="1:20" hidden="1" outlineLevel="1" x14ac:dyDescent="0.2">
      <c r="A79" s="744"/>
      <c r="B79" s="744"/>
      <c r="C79" s="745"/>
      <c r="D79" s="746"/>
      <c r="E79" s="746"/>
      <c r="F79" s="746"/>
      <c r="G79" s="746"/>
      <c r="H79" s="749"/>
      <c r="I79" s="746"/>
      <c r="J79" s="748"/>
      <c r="K79" s="746"/>
      <c r="L79" s="748"/>
      <c r="M79" s="748"/>
      <c r="N79" s="743">
        <f t="shared" si="2"/>
        <v>0</v>
      </c>
      <c r="O79" s="717"/>
      <c r="P79" s="717"/>
      <c r="Q79" s="717"/>
      <c r="R79" s="717"/>
      <c r="S79" s="717"/>
      <c r="T79" s="717"/>
    </row>
    <row r="80" spans="1:20" hidden="1" outlineLevel="1" x14ac:dyDescent="0.2">
      <c r="A80" s="744"/>
      <c r="B80" s="744"/>
      <c r="C80" s="745"/>
      <c r="D80" s="746"/>
      <c r="E80" s="746"/>
      <c r="F80" s="746"/>
      <c r="G80" s="746"/>
      <c r="H80" s="749"/>
      <c r="I80" s="746"/>
      <c r="J80" s="748"/>
      <c r="K80" s="746"/>
      <c r="L80" s="748"/>
      <c r="M80" s="748"/>
      <c r="N80" s="743">
        <f t="shared" si="2"/>
        <v>0</v>
      </c>
      <c r="O80" s="717"/>
      <c r="P80" s="717"/>
      <c r="Q80" s="717"/>
      <c r="R80" s="717"/>
      <c r="S80" s="717"/>
      <c r="T80" s="717"/>
    </row>
    <row r="81" spans="1:20" hidden="1" outlineLevel="1" x14ac:dyDescent="0.2">
      <c r="A81" s="744"/>
      <c r="B81" s="744"/>
      <c r="C81" s="745"/>
      <c r="D81" s="746"/>
      <c r="E81" s="746"/>
      <c r="F81" s="746"/>
      <c r="G81" s="746"/>
      <c r="H81" s="749"/>
      <c r="I81" s="746"/>
      <c r="J81" s="748"/>
      <c r="K81" s="746"/>
      <c r="L81" s="748"/>
      <c r="M81" s="748"/>
      <c r="N81" s="743">
        <f t="shared" si="2"/>
        <v>0</v>
      </c>
      <c r="O81" s="717"/>
      <c r="P81" s="717"/>
      <c r="Q81" s="717"/>
      <c r="R81" s="717"/>
      <c r="S81" s="717"/>
      <c r="T81" s="717"/>
    </row>
    <row r="82" spans="1:20" hidden="1" outlineLevel="1" x14ac:dyDescent="0.2">
      <c r="A82" s="744"/>
      <c r="B82" s="744"/>
      <c r="C82" s="745"/>
      <c r="D82" s="746"/>
      <c r="E82" s="746"/>
      <c r="F82" s="746"/>
      <c r="G82" s="746"/>
      <c r="H82" s="749"/>
      <c r="I82" s="746"/>
      <c r="J82" s="748"/>
      <c r="K82" s="746"/>
      <c r="L82" s="748"/>
      <c r="M82" s="748"/>
      <c r="N82" s="743">
        <f t="shared" si="2"/>
        <v>0</v>
      </c>
      <c r="O82" s="717"/>
      <c r="P82" s="717"/>
      <c r="Q82" s="717"/>
      <c r="R82" s="717"/>
      <c r="S82" s="717"/>
      <c r="T82" s="717"/>
    </row>
    <row r="83" spans="1:20" hidden="1" outlineLevel="1" x14ac:dyDescent="0.2">
      <c r="A83" s="744"/>
      <c r="B83" s="744"/>
      <c r="C83" s="745"/>
      <c r="D83" s="746"/>
      <c r="E83" s="746"/>
      <c r="F83" s="746"/>
      <c r="G83" s="746"/>
      <c r="H83" s="749"/>
      <c r="I83" s="746"/>
      <c r="J83" s="748"/>
      <c r="K83" s="746"/>
      <c r="L83" s="748"/>
      <c r="M83" s="748"/>
      <c r="N83" s="743">
        <f t="shared" si="2"/>
        <v>0</v>
      </c>
      <c r="O83" s="717"/>
      <c r="P83" s="717"/>
      <c r="Q83" s="717"/>
      <c r="R83" s="717"/>
      <c r="S83" s="717"/>
      <c r="T83" s="717"/>
    </row>
    <row r="84" spans="1:20" hidden="1" outlineLevel="1" x14ac:dyDescent="0.2">
      <c r="A84" s="744"/>
      <c r="B84" s="744"/>
      <c r="C84" s="745"/>
      <c r="D84" s="746"/>
      <c r="E84" s="746"/>
      <c r="F84" s="746"/>
      <c r="G84" s="746"/>
      <c r="H84" s="749"/>
      <c r="I84" s="746"/>
      <c r="J84" s="748"/>
      <c r="K84" s="746"/>
      <c r="L84" s="748"/>
      <c r="M84" s="748"/>
      <c r="N84" s="743">
        <f t="shared" si="2"/>
        <v>0</v>
      </c>
      <c r="O84" s="717"/>
      <c r="P84" s="717"/>
      <c r="Q84" s="717"/>
      <c r="R84" s="717"/>
      <c r="S84" s="717"/>
      <c r="T84" s="717"/>
    </row>
    <row r="85" spans="1:20" hidden="1" outlineLevel="1" x14ac:dyDescent="0.2">
      <c r="A85" s="744"/>
      <c r="B85" s="744"/>
      <c r="C85" s="745"/>
      <c r="D85" s="746"/>
      <c r="E85" s="746"/>
      <c r="F85" s="746"/>
      <c r="G85" s="746"/>
      <c r="H85" s="749"/>
      <c r="I85" s="746"/>
      <c r="J85" s="748"/>
      <c r="K85" s="746"/>
      <c r="L85" s="748"/>
      <c r="M85" s="748"/>
      <c r="N85" s="743">
        <f t="shared" si="2"/>
        <v>0</v>
      </c>
      <c r="O85" s="717"/>
      <c r="P85" s="717"/>
      <c r="Q85" s="717"/>
      <c r="R85" s="717"/>
      <c r="S85" s="717"/>
      <c r="T85" s="717"/>
    </row>
    <row r="86" spans="1:20" hidden="1" outlineLevel="1" x14ac:dyDescent="0.2">
      <c r="A86" s="744"/>
      <c r="B86" s="744"/>
      <c r="C86" s="745"/>
      <c r="D86" s="746"/>
      <c r="E86" s="746"/>
      <c r="F86" s="746"/>
      <c r="G86" s="746"/>
      <c r="H86" s="749"/>
      <c r="I86" s="746"/>
      <c r="J86" s="748"/>
      <c r="K86" s="746"/>
      <c r="L86" s="748"/>
      <c r="M86" s="748"/>
      <c r="N86" s="743">
        <f t="shared" si="2"/>
        <v>0</v>
      </c>
      <c r="O86" s="717"/>
      <c r="P86" s="717"/>
      <c r="Q86" s="717"/>
      <c r="R86" s="717"/>
      <c r="S86" s="717"/>
      <c r="T86" s="717"/>
    </row>
    <row r="87" spans="1:20" hidden="1" outlineLevel="1" x14ac:dyDescent="0.2">
      <c r="A87" s="744"/>
      <c r="B87" s="744"/>
      <c r="C87" s="745"/>
      <c r="D87" s="746"/>
      <c r="E87" s="746"/>
      <c r="F87" s="746"/>
      <c r="G87" s="746"/>
      <c r="H87" s="749"/>
      <c r="I87" s="746"/>
      <c r="J87" s="748"/>
      <c r="K87" s="746"/>
      <c r="L87" s="748"/>
      <c r="M87" s="748"/>
      <c r="N87" s="743">
        <f t="shared" si="2"/>
        <v>0</v>
      </c>
      <c r="O87" s="717"/>
      <c r="P87" s="717"/>
      <c r="Q87" s="717"/>
      <c r="R87" s="717"/>
      <c r="S87" s="717"/>
      <c r="T87" s="717"/>
    </row>
    <row r="88" spans="1:20" hidden="1" outlineLevel="1" x14ac:dyDescent="0.2">
      <c r="A88" s="744"/>
      <c r="B88" s="744"/>
      <c r="C88" s="745"/>
      <c r="D88" s="746"/>
      <c r="E88" s="746"/>
      <c r="F88" s="746"/>
      <c r="G88" s="746"/>
      <c r="H88" s="749"/>
      <c r="I88" s="746"/>
      <c r="J88" s="748"/>
      <c r="K88" s="746"/>
      <c r="L88" s="748"/>
      <c r="M88" s="748"/>
      <c r="N88" s="743">
        <f t="shared" si="2"/>
        <v>0</v>
      </c>
      <c r="O88" s="717"/>
      <c r="P88" s="717"/>
      <c r="Q88" s="717"/>
      <c r="R88" s="717"/>
      <c r="S88" s="717"/>
      <c r="T88" s="717"/>
    </row>
    <row r="89" spans="1:20" hidden="1" outlineLevel="1" x14ac:dyDescent="0.2">
      <c r="A89" s="744"/>
      <c r="B89" s="744"/>
      <c r="C89" s="745"/>
      <c r="D89" s="746"/>
      <c r="E89" s="746"/>
      <c r="F89" s="746"/>
      <c r="G89" s="746"/>
      <c r="H89" s="749"/>
      <c r="I89" s="746"/>
      <c r="J89" s="748"/>
      <c r="K89" s="746"/>
      <c r="L89" s="748"/>
      <c r="M89" s="748"/>
      <c r="N89" s="743">
        <f t="shared" si="2"/>
        <v>0</v>
      </c>
      <c r="O89" s="717"/>
      <c r="P89" s="717"/>
      <c r="Q89" s="717"/>
      <c r="R89" s="717"/>
      <c r="S89" s="717"/>
      <c r="T89" s="717"/>
    </row>
    <row r="90" spans="1:20" hidden="1" outlineLevel="1" x14ac:dyDescent="0.2">
      <c r="A90" s="744"/>
      <c r="B90" s="744"/>
      <c r="C90" s="745"/>
      <c r="D90" s="746"/>
      <c r="E90" s="746"/>
      <c r="F90" s="746"/>
      <c r="G90" s="746"/>
      <c r="H90" s="749"/>
      <c r="I90" s="746"/>
      <c r="J90" s="748"/>
      <c r="K90" s="746"/>
      <c r="L90" s="748"/>
      <c r="M90" s="748"/>
      <c r="N90" s="743">
        <f t="shared" si="2"/>
        <v>0</v>
      </c>
      <c r="O90" s="717"/>
      <c r="P90" s="717"/>
      <c r="Q90" s="717"/>
      <c r="R90" s="717"/>
      <c r="S90" s="717"/>
      <c r="T90" s="717"/>
    </row>
    <row r="91" spans="1:20" hidden="1" outlineLevel="1" x14ac:dyDescent="0.2">
      <c r="A91" s="744"/>
      <c r="B91" s="744"/>
      <c r="C91" s="745"/>
      <c r="D91" s="746"/>
      <c r="E91" s="746"/>
      <c r="F91" s="746"/>
      <c r="G91" s="746"/>
      <c r="H91" s="749"/>
      <c r="I91" s="746"/>
      <c r="J91" s="748"/>
      <c r="K91" s="746"/>
      <c r="L91" s="748"/>
      <c r="M91" s="748"/>
      <c r="N91" s="743">
        <f t="shared" si="2"/>
        <v>0</v>
      </c>
      <c r="O91" s="717"/>
      <c r="P91" s="717"/>
      <c r="Q91" s="717"/>
      <c r="R91" s="717"/>
      <c r="S91" s="717"/>
      <c r="T91" s="717"/>
    </row>
    <row r="92" spans="1:20" hidden="1" outlineLevel="1" x14ac:dyDescent="0.2">
      <c r="A92" s="744"/>
      <c r="B92" s="744"/>
      <c r="C92" s="745"/>
      <c r="D92" s="746"/>
      <c r="E92" s="746"/>
      <c r="F92" s="746"/>
      <c r="G92" s="746"/>
      <c r="H92" s="749"/>
      <c r="I92" s="746"/>
      <c r="J92" s="748"/>
      <c r="K92" s="746"/>
      <c r="L92" s="748"/>
      <c r="M92" s="748"/>
      <c r="N92" s="743">
        <f t="shared" si="2"/>
        <v>0</v>
      </c>
      <c r="O92" s="717"/>
      <c r="P92" s="717"/>
      <c r="Q92" s="717"/>
      <c r="R92" s="717"/>
      <c r="S92" s="717"/>
      <c r="T92" s="717"/>
    </row>
    <row r="93" spans="1:20" hidden="1" outlineLevel="1" x14ac:dyDescent="0.2">
      <c r="A93" s="744"/>
      <c r="B93" s="744"/>
      <c r="C93" s="745"/>
      <c r="D93" s="746"/>
      <c r="E93" s="746"/>
      <c r="F93" s="746"/>
      <c r="G93" s="746"/>
      <c r="H93" s="749"/>
      <c r="I93" s="746"/>
      <c r="J93" s="748"/>
      <c r="K93" s="746"/>
      <c r="L93" s="748"/>
      <c r="M93" s="748"/>
      <c r="N93" s="743">
        <f t="shared" si="2"/>
        <v>0</v>
      </c>
      <c r="O93" s="717"/>
      <c r="P93" s="717"/>
      <c r="Q93" s="717"/>
      <c r="R93" s="717"/>
      <c r="S93" s="717"/>
      <c r="T93" s="717"/>
    </row>
    <row r="94" spans="1:20" hidden="1" outlineLevel="1" x14ac:dyDescent="0.2">
      <c r="A94" s="744"/>
      <c r="B94" s="744"/>
      <c r="C94" s="745"/>
      <c r="D94" s="746"/>
      <c r="E94" s="746"/>
      <c r="F94" s="746"/>
      <c r="G94" s="746"/>
      <c r="H94" s="749"/>
      <c r="I94" s="746"/>
      <c r="J94" s="748"/>
      <c r="K94" s="746"/>
      <c r="L94" s="748"/>
      <c r="M94" s="748"/>
      <c r="N94" s="743">
        <f t="shared" si="2"/>
        <v>0</v>
      </c>
      <c r="O94" s="717"/>
      <c r="P94" s="717"/>
      <c r="Q94" s="717"/>
      <c r="R94" s="717"/>
      <c r="S94" s="717"/>
      <c r="T94" s="717"/>
    </row>
    <row r="95" spans="1:20" hidden="1" outlineLevel="1" x14ac:dyDescent="0.2">
      <c r="A95" s="744"/>
      <c r="B95" s="744"/>
      <c r="C95" s="745"/>
      <c r="D95" s="746"/>
      <c r="E95" s="746"/>
      <c r="F95" s="746"/>
      <c r="G95" s="746"/>
      <c r="H95" s="749"/>
      <c r="I95" s="746"/>
      <c r="J95" s="748"/>
      <c r="K95" s="746"/>
      <c r="L95" s="748"/>
      <c r="M95" s="748"/>
      <c r="N95" s="743">
        <f t="shared" si="2"/>
        <v>0</v>
      </c>
      <c r="O95" s="717"/>
      <c r="P95" s="717"/>
      <c r="Q95" s="717"/>
      <c r="R95" s="717"/>
      <c r="S95" s="717"/>
      <c r="T95" s="717"/>
    </row>
    <row r="96" spans="1:20" hidden="1" outlineLevel="1" x14ac:dyDescent="0.2">
      <c r="A96" s="744"/>
      <c r="B96" s="744"/>
      <c r="C96" s="745"/>
      <c r="D96" s="746"/>
      <c r="E96" s="746"/>
      <c r="F96" s="746"/>
      <c r="G96" s="746"/>
      <c r="H96" s="749"/>
      <c r="I96" s="746"/>
      <c r="J96" s="748"/>
      <c r="K96" s="746"/>
      <c r="L96" s="748"/>
      <c r="M96" s="748"/>
      <c r="N96" s="743">
        <f t="shared" si="2"/>
        <v>0</v>
      </c>
      <c r="O96" s="717"/>
      <c r="P96" s="717"/>
      <c r="Q96" s="717"/>
      <c r="R96" s="717"/>
      <c r="S96" s="717"/>
      <c r="T96" s="717"/>
    </row>
    <row r="97" spans="1:20" hidden="1" outlineLevel="1" x14ac:dyDescent="0.2">
      <c r="A97" s="744"/>
      <c r="B97" s="744"/>
      <c r="C97" s="745"/>
      <c r="D97" s="746"/>
      <c r="E97" s="746"/>
      <c r="F97" s="746"/>
      <c r="G97" s="746"/>
      <c r="H97" s="749"/>
      <c r="I97" s="746"/>
      <c r="J97" s="748"/>
      <c r="K97" s="746"/>
      <c r="L97" s="748"/>
      <c r="M97" s="748"/>
      <c r="N97" s="743">
        <f t="shared" si="2"/>
        <v>0</v>
      </c>
      <c r="O97" s="717"/>
      <c r="P97" s="717"/>
      <c r="Q97" s="717"/>
      <c r="R97" s="717"/>
      <c r="S97" s="717"/>
      <c r="T97" s="717"/>
    </row>
    <row r="98" spans="1:20" hidden="1" outlineLevel="1" x14ac:dyDescent="0.2">
      <c r="A98" s="744"/>
      <c r="B98" s="744"/>
      <c r="C98" s="745"/>
      <c r="D98" s="746"/>
      <c r="E98" s="746"/>
      <c r="F98" s="746"/>
      <c r="G98" s="746"/>
      <c r="H98" s="749"/>
      <c r="I98" s="746"/>
      <c r="J98" s="748"/>
      <c r="K98" s="746"/>
      <c r="L98" s="748"/>
      <c r="M98" s="748"/>
      <c r="N98" s="743">
        <f t="shared" si="2"/>
        <v>0</v>
      </c>
      <c r="O98" s="717"/>
      <c r="P98" s="717"/>
      <c r="Q98" s="717"/>
      <c r="R98" s="717"/>
      <c r="S98" s="717"/>
      <c r="T98" s="717"/>
    </row>
    <row r="99" spans="1:20" hidden="1" outlineLevel="1" x14ac:dyDescent="0.2">
      <c r="A99" s="744"/>
      <c r="B99" s="744"/>
      <c r="C99" s="745"/>
      <c r="D99" s="746"/>
      <c r="E99" s="746"/>
      <c r="F99" s="746"/>
      <c r="G99" s="746"/>
      <c r="H99" s="749"/>
      <c r="I99" s="746"/>
      <c r="J99" s="748"/>
      <c r="K99" s="746"/>
      <c r="L99" s="748"/>
      <c r="M99" s="748"/>
      <c r="N99" s="743">
        <f t="shared" si="2"/>
        <v>0</v>
      </c>
      <c r="O99" s="717"/>
      <c r="P99" s="717"/>
      <c r="Q99" s="717"/>
      <c r="R99" s="717"/>
      <c r="S99" s="717"/>
      <c r="T99" s="717"/>
    </row>
    <row r="100" spans="1:20" hidden="1" outlineLevel="1" x14ac:dyDescent="0.2">
      <c r="A100" s="744"/>
      <c r="B100" s="744"/>
      <c r="C100" s="745"/>
      <c r="D100" s="746"/>
      <c r="E100" s="746"/>
      <c r="F100" s="746"/>
      <c r="G100" s="746"/>
      <c r="H100" s="749"/>
      <c r="I100" s="746"/>
      <c r="J100" s="748"/>
      <c r="K100" s="746"/>
      <c r="L100" s="748"/>
      <c r="M100" s="748"/>
      <c r="N100" s="743">
        <f t="shared" si="2"/>
        <v>0</v>
      </c>
      <c r="O100" s="717"/>
      <c r="P100" s="717"/>
      <c r="Q100" s="717"/>
      <c r="R100" s="717"/>
      <c r="S100" s="717"/>
      <c r="T100" s="717"/>
    </row>
    <row r="101" spans="1:20" hidden="1" outlineLevel="1" x14ac:dyDescent="0.2">
      <c r="A101" s="744"/>
      <c r="B101" s="744"/>
      <c r="C101" s="745"/>
      <c r="D101" s="746"/>
      <c r="E101" s="746"/>
      <c r="F101" s="746"/>
      <c r="G101" s="746"/>
      <c r="H101" s="749"/>
      <c r="I101" s="746"/>
      <c r="J101" s="748"/>
      <c r="K101" s="746"/>
      <c r="L101" s="748"/>
      <c r="M101" s="748"/>
      <c r="N101" s="743">
        <f t="shared" si="2"/>
        <v>0</v>
      </c>
      <c r="O101" s="717"/>
      <c r="P101" s="717"/>
      <c r="Q101" s="717"/>
      <c r="R101" s="717"/>
      <c r="S101" s="717"/>
      <c r="T101" s="717"/>
    </row>
    <row r="102" spans="1:20" hidden="1" outlineLevel="1" x14ac:dyDescent="0.2">
      <c r="A102" s="744"/>
      <c r="B102" s="744"/>
      <c r="C102" s="745"/>
      <c r="D102" s="746"/>
      <c r="E102" s="746"/>
      <c r="F102" s="746"/>
      <c r="G102" s="746"/>
      <c r="H102" s="749"/>
      <c r="I102" s="746"/>
      <c r="J102" s="748"/>
      <c r="K102" s="746"/>
      <c r="L102" s="748"/>
      <c r="M102" s="748"/>
      <c r="N102" s="743">
        <f t="shared" si="2"/>
        <v>0</v>
      </c>
      <c r="O102" s="717"/>
      <c r="P102" s="717"/>
      <c r="Q102" s="717"/>
      <c r="R102" s="717"/>
      <c r="S102" s="717"/>
      <c r="T102" s="717"/>
    </row>
    <row r="103" spans="1:20" hidden="1" outlineLevel="1" x14ac:dyDescent="0.2">
      <c r="A103" s="744"/>
      <c r="B103" s="744"/>
      <c r="C103" s="745"/>
      <c r="D103" s="746"/>
      <c r="E103" s="746"/>
      <c r="F103" s="746"/>
      <c r="G103" s="746"/>
      <c r="H103" s="749"/>
      <c r="I103" s="746"/>
      <c r="J103" s="748"/>
      <c r="K103" s="746"/>
      <c r="L103" s="748"/>
      <c r="M103" s="748"/>
      <c r="N103" s="743">
        <f t="shared" si="2"/>
        <v>0</v>
      </c>
      <c r="O103" s="717"/>
      <c r="P103" s="717"/>
      <c r="Q103" s="717"/>
      <c r="R103" s="717"/>
      <c r="S103" s="717"/>
      <c r="T103" s="717"/>
    </row>
    <row r="104" spans="1:20" hidden="1" outlineLevel="1" x14ac:dyDescent="0.2">
      <c r="A104" s="744"/>
      <c r="B104" s="744"/>
      <c r="C104" s="745"/>
      <c r="D104" s="746"/>
      <c r="E104" s="746"/>
      <c r="F104" s="746"/>
      <c r="G104" s="746"/>
      <c r="H104" s="749"/>
      <c r="I104" s="746"/>
      <c r="J104" s="748"/>
      <c r="K104" s="746"/>
      <c r="L104" s="748"/>
      <c r="M104" s="748"/>
      <c r="N104" s="743">
        <f t="shared" si="2"/>
        <v>0</v>
      </c>
      <c r="O104" s="717"/>
      <c r="P104" s="717"/>
      <c r="Q104" s="717"/>
      <c r="R104" s="717"/>
      <c r="S104" s="717"/>
      <c r="T104" s="717"/>
    </row>
    <row r="105" spans="1:20" hidden="1" outlineLevel="1" x14ac:dyDescent="0.2">
      <c r="A105" s="744"/>
      <c r="B105" s="744"/>
      <c r="C105" s="745"/>
      <c r="D105" s="746"/>
      <c r="E105" s="746"/>
      <c r="F105" s="746"/>
      <c r="G105" s="746"/>
      <c r="H105" s="749"/>
      <c r="I105" s="746"/>
      <c r="J105" s="748"/>
      <c r="K105" s="746"/>
      <c r="L105" s="748"/>
      <c r="M105" s="748"/>
      <c r="N105" s="743">
        <f t="shared" si="2"/>
        <v>0</v>
      </c>
      <c r="O105" s="717"/>
      <c r="P105" s="717"/>
      <c r="Q105" s="717"/>
      <c r="R105" s="717"/>
      <c r="S105" s="717"/>
      <c r="T105" s="717"/>
    </row>
    <row r="106" spans="1:20" hidden="1" outlineLevel="1" x14ac:dyDescent="0.2">
      <c r="A106" s="744"/>
      <c r="B106" s="744"/>
      <c r="C106" s="745"/>
      <c r="D106" s="746"/>
      <c r="E106" s="746"/>
      <c r="F106" s="746"/>
      <c r="G106" s="746"/>
      <c r="H106" s="749"/>
      <c r="I106" s="746"/>
      <c r="J106" s="748"/>
      <c r="K106" s="746"/>
      <c r="L106" s="748"/>
      <c r="M106" s="748"/>
      <c r="N106" s="743">
        <f t="shared" si="2"/>
        <v>0</v>
      </c>
      <c r="O106" s="717"/>
      <c r="P106" s="717"/>
      <c r="Q106" s="717"/>
      <c r="R106" s="717"/>
      <c r="S106" s="717"/>
      <c r="T106" s="717"/>
    </row>
    <row r="107" spans="1:20" hidden="1" outlineLevel="1" x14ac:dyDescent="0.2">
      <c r="A107" s="744"/>
      <c r="B107" s="744"/>
      <c r="C107" s="745"/>
      <c r="D107" s="746"/>
      <c r="E107" s="746"/>
      <c r="F107" s="746"/>
      <c r="G107" s="746"/>
      <c r="H107" s="749"/>
      <c r="I107" s="746"/>
      <c r="J107" s="748"/>
      <c r="K107" s="746"/>
      <c r="L107" s="748"/>
      <c r="M107" s="748"/>
      <c r="N107" s="743">
        <f t="shared" si="2"/>
        <v>0</v>
      </c>
      <c r="O107" s="717"/>
      <c r="P107" s="717"/>
      <c r="Q107" s="717"/>
      <c r="R107" s="717"/>
      <c r="S107" s="717"/>
      <c r="T107" s="717"/>
    </row>
    <row r="108" spans="1:20" hidden="1" outlineLevel="1" x14ac:dyDescent="0.2">
      <c r="A108" s="744"/>
      <c r="B108" s="744"/>
      <c r="C108" s="745"/>
      <c r="D108" s="746"/>
      <c r="E108" s="746"/>
      <c r="F108" s="746"/>
      <c r="G108" s="746"/>
      <c r="H108" s="749"/>
      <c r="I108" s="746"/>
      <c r="J108" s="748"/>
      <c r="K108" s="746"/>
      <c r="L108" s="748"/>
      <c r="M108" s="748"/>
      <c r="N108" s="743">
        <f t="shared" si="2"/>
        <v>0</v>
      </c>
      <c r="O108" s="717"/>
      <c r="P108" s="717"/>
      <c r="Q108" s="717"/>
      <c r="R108" s="717"/>
      <c r="S108" s="717"/>
      <c r="T108" s="717"/>
    </row>
    <row r="109" spans="1:20" hidden="1" outlineLevel="1" x14ac:dyDescent="0.2">
      <c r="A109" s="744"/>
      <c r="B109" s="744"/>
      <c r="C109" s="745"/>
      <c r="D109" s="746"/>
      <c r="E109" s="746"/>
      <c r="F109" s="746"/>
      <c r="G109" s="746"/>
      <c r="H109" s="749"/>
      <c r="I109" s="746"/>
      <c r="J109" s="748"/>
      <c r="K109" s="746"/>
      <c r="L109" s="748"/>
      <c r="M109" s="748"/>
      <c r="N109" s="743">
        <f t="shared" ref="N109:N131" si="3">+E109+F109+G109+H109+I109-J109+K109-L109-M109</f>
        <v>0</v>
      </c>
      <c r="O109" s="717"/>
      <c r="P109" s="717"/>
      <c r="Q109" s="717"/>
      <c r="R109" s="717"/>
      <c r="S109" s="717"/>
      <c r="T109" s="717"/>
    </row>
    <row r="110" spans="1:20" hidden="1" outlineLevel="1" x14ac:dyDescent="0.2">
      <c r="A110" s="744"/>
      <c r="B110" s="744"/>
      <c r="C110" s="745"/>
      <c r="D110" s="746"/>
      <c r="E110" s="746"/>
      <c r="F110" s="746"/>
      <c r="G110" s="746"/>
      <c r="H110" s="749"/>
      <c r="I110" s="746"/>
      <c r="J110" s="748"/>
      <c r="K110" s="746"/>
      <c r="L110" s="748"/>
      <c r="M110" s="748"/>
      <c r="N110" s="743">
        <f t="shared" si="3"/>
        <v>0</v>
      </c>
      <c r="O110" s="717"/>
      <c r="P110" s="717"/>
      <c r="Q110" s="717"/>
      <c r="R110" s="717"/>
      <c r="S110" s="717"/>
      <c r="T110" s="717"/>
    </row>
    <row r="111" spans="1:20" hidden="1" outlineLevel="1" x14ac:dyDescent="0.2">
      <c r="A111" s="744"/>
      <c r="B111" s="744"/>
      <c r="C111" s="745"/>
      <c r="D111" s="746"/>
      <c r="E111" s="746"/>
      <c r="F111" s="746"/>
      <c r="G111" s="746"/>
      <c r="H111" s="749"/>
      <c r="I111" s="746"/>
      <c r="J111" s="748"/>
      <c r="K111" s="746"/>
      <c r="L111" s="748"/>
      <c r="M111" s="748"/>
      <c r="N111" s="743">
        <f t="shared" si="3"/>
        <v>0</v>
      </c>
      <c r="O111" s="717"/>
      <c r="P111" s="717"/>
      <c r="Q111" s="717"/>
      <c r="R111" s="717"/>
      <c r="S111" s="717"/>
      <c r="T111" s="717"/>
    </row>
    <row r="112" spans="1:20" hidden="1" outlineLevel="1" x14ac:dyDescent="0.2">
      <c r="A112" s="744"/>
      <c r="B112" s="744"/>
      <c r="C112" s="745"/>
      <c r="D112" s="746"/>
      <c r="E112" s="746"/>
      <c r="F112" s="746"/>
      <c r="G112" s="746"/>
      <c r="H112" s="749"/>
      <c r="I112" s="746"/>
      <c r="J112" s="748"/>
      <c r="K112" s="746"/>
      <c r="L112" s="748"/>
      <c r="M112" s="748"/>
      <c r="N112" s="743">
        <f t="shared" si="3"/>
        <v>0</v>
      </c>
      <c r="O112" s="717"/>
      <c r="P112" s="717"/>
      <c r="Q112" s="717"/>
      <c r="R112" s="717"/>
      <c r="S112" s="717"/>
      <c r="T112" s="717"/>
    </row>
    <row r="113" spans="1:20" hidden="1" outlineLevel="1" x14ac:dyDescent="0.2">
      <c r="A113" s="744"/>
      <c r="B113" s="744"/>
      <c r="C113" s="745"/>
      <c r="D113" s="746"/>
      <c r="E113" s="746"/>
      <c r="F113" s="746"/>
      <c r="G113" s="746"/>
      <c r="H113" s="749"/>
      <c r="I113" s="746"/>
      <c r="J113" s="748"/>
      <c r="K113" s="746"/>
      <c r="L113" s="748"/>
      <c r="M113" s="748"/>
      <c r="N113" s="743">
        <f t="shared" si="3"/>
        <v>0</v>
      </c>
      <c r="O113" s="717"/>
      <c r="P113" s="717"/>
      <c r="Q113" s="717"/>
      <c r="R113" s="717"/>
      <c r="S113" s="717"/>
      <c r="T113" s="717"/>
    </row>
    <row r="114" spans="1:20" hidden="1" outlineLevel="1" x14ac:dyDescent="0.2">
      <c r="A114" s="744"/>
      <c r="B114" s="744"/>
      <c r="C114" s="745"/>
      <c r="D114" s="746"/>
      <c r="E114" s="746"/>
      <c r="F114" s="746"/>
      <c r="G114" s="746"/>
      <c r="H114" s="749"/>
      <c r="I114" s="746"/>
      <c r="J114" s="748"/>
      <c r="K114" s="746"/>
      <c r="L114" s="748"/>
      <c r="M114" s="748"/>
      <c r="N114" s="743">
        <f t="shared" si="3"/>
        <v>0</v>
      </c>
      <c r="O114" s="717"/>
      <c r="P114" s="717"/>
      <c r="Q114" s="717"/>
      <c r="R114" s="717"/>
      <c r="S114" s="717"/>
      <c r="T114" s="717"/>
    </row>
    <row r="115" spans="1:20" hidden="1" outlineLevel="1" x14ac:dyDescent="0.2">
      <c r="A115" s="744"/>
      <c r="B115" s="744"/>
      <c r="C115" s="745"/>
      <c r="D115" s="746"/>
      <c r="E115" s="746"/>
      <c r="F115" s="746"/>
      <c r="G115" s="746"/>
      <c r="H115" s="749"/>
      <c r="I115" s="746"/>
      <c r="J115" s="748"/>
      <c r="K115" s="746"/>
      <c r="L115" s="748"/>
      <c r="M115" s="748"/>
      <c r="N115" s="743">
        <f t="shared" si="3"/>
        <v>0</v>
      </c>
      <c r="O115" s="717"/>
      <c r="P115" s="717"/>
      <c r="Q115" s="717"/>
      <c r="R115" s="717"/>
      <c r="S115" s="717"/>
      <c r="T115" s="717"/>
    </row>
    <row r="116" spans="1:20" hidden="1" outlineLevel="1" x14ac:dyDescent="0.2">
      <c r="A116" s="744"/>
      <c r="B116" s="744"/>
      <c r="C116" s="745"/>
      <c r="D116" s="746"/>
      <c r="E116" s="746"/>
      <c r="F116" s="746"/>
      <c r="G116" s="746"/>
      <c r="H116" s="749"/>
      <c r="I116" s="746"/>
      <c r="J116" s="748"/>
      <c r="K116" s="746"/>
      <c r="L116" s="748"/>
      <c r="M116" s="748"/>
      <c r="N116" s="743">
        <f t="shared" si="3"/>
        <v>0</v>
      </c>
      <c r="O116" s="717"/>
      <c r="P116" s="717"/>
      <c r="Q116" s="717"/>
      <c r="R116" s="717"/>
      <c r="S116" s="717"/>
      <c r="T116" s="717"/>
    </row>
    <row r="117" spans="1:20" hidden="1" outlineLevel="1" x14ac:dyDescent="0.2">
      <c r="A117" s="744"/>
      <c r="B117" s="744"/>
      <c r="C117" s="745"/>
      <c r="D117" s="746"/>
      <c r="E117" s="746"/>
      <c r="F117" s="746"/>
      <c r="G117" s="746"/>
      <c r="H117" s="749"/>
      <c r="I117" s="746"/>
      <c r="J117" s="748"/>
      <c r="K117" s="746"/>
      <c r="L117" s="748"/>
      <c r="M117" s="748"/>
      <c r="N117" s="743">
        <f t="shared" si="3"/>
        <v>0</v>
      </c>
      <c r="O117" s="717"/>
      <c r="P117" s="717"/>
      <c r="Q117" s="717"/>
      <c r="R117" s="717"/>
      <c r="S117" s="717"/>
      <c r="T117" s="717"/>
    </row>
    <row r="118" spans="1:20" hidden="1" outlineLevel="1" x14ac:dyDescent="0.2">
      <c r="A118" s="744"/>
      <c r="B118" s="744"/>
      <c r="C118" s="745"/>
      <c r="D118" s="746"/>
      <c r="E118" s="746"/>
      <c r="F118" s="746"/>
      <c r="G118" s="746"/>
      <c r="H118" s="749"/>
      <c r="I118" s="746"/>
      <c r="J118" s="748"/>
      <c r="K118" s="746"/>
      <c r="L118" s="748"/>
      <c r="M118" s="748"/>
      <c r="N118" s="743">
        <f t="shared" si="3"/>
        <v>0</v>
      </c>
      <c r="O118" s="717"/>
      <c r="P118" s="717"/>
      <c r="Q118" s="717"/>
      <c r="R118" s="717"/>
      <c r="S118" s="717"/>
      <c r="T118" s="717"/>
    </row>
    <row r="119" spans="1:20" hidden="1" outlineLevel="1" x14ac:dyDescent="0.2">
      <c r="A119" s="744"/>
      <c r="B119" s="744"/>
      <c r="C119" s="745"/>
      <c r="D119" s="746"/>
      <c r="E119" s="746"/>
      <c r="F119" s="746"/>
      <c r="G119" s="746"/>
      <c r="H119" s="749"/>
      <c r="I119" s="746"/>
      <c r="J119" s="748"/>
      <c r="K119" s="746"/>
      <c r="L119" s="748"/>
      <c r="M119" s="748"/>
      <c r="N119" s="743">
        <f t="shared" si="3"/>
        <v>0</v>
      </c>
      <c r="O119" s="717"/>
      <c r="P119" s="717"/>
      <c r="Q119" s="717"/>
      <c r="R119" s="717"/>
      <c r="S119" s="717"/>
      <c r="T119" s="717"/>
    </row>
    <row r="120" spans="1:20" hidden="1" outlineLevel="1" x14ac:dyDescent="0.2">
      <c r="A120" s="744"/>
      <c r="B120" s="744"/>
      <c r="C120" s="745"/>
      <c r="D120" s="746"/>
      <c r="E120" s="746"/>
      <c r="F120" s="746"/>
      <c r="G120" s="746"/>
      <c r="H120" s="749"/>
      <c r="I120" s="746"/>
      <c r="J120" s="748"/>
      <c r="K120" s="746"/>
      <c r="L120" s="748"/>
      <c r="M120" s="748"/>
      <c r="N120" s="743">
        <f t="shared" si="3"/>
        <v>0</v>
      </c>
      <c r="O120" s="717"/>
      <c r="P120" s="717"/>
      <c r="Q120" s="717"/>
      <c r="R120" s="717"/>
      <c r="S120" s="717"/>
      <c r="T120" s="717"/>
    </row>
    <row r="121" spans="1:20" hidden="1" outlineLevel="1" x14ac:dyDescent="0.2">
      <c r="A121" s="744"/>
      <c r="B121" s="744"/>
      <c r="C121" s="745"/>
      <c r="D121" s="746"/>
      <c r="E121" s="746"/>
      <c r="F121" s="746"/>
      <c r="G121" s="746"/>
      <c r="H121" s="749"/>
      <c r="I121" s="746"/>
      <c r="J121" s="748"/>
      <c r="K121" s="746"/>
      <c r="L121" s="748"/>
      <c r="M121" s="748"/>
      <c r="N121" s="743">
        <f t="shared" si="3"/>
        <v>0</v>
      </c>
      <c r="O121" s="717"/>
      <c r="P121" s="717"/>
      <c r="Q121" s="717"/>
      <c r="R121" s="717"/>
      <c r="S121" s="717"/>
      <c r="T121" s="717"/>
    </row>
    <row r="122" spans="1:20" hidden="1" outlineLevel="1" x14ac:dyDescent="0.2">
      <c r="A122" s="744"/>
      <c r="B122" s="744"/>
      <c r="C122" s="745"/>
      <c r="D122" s="746"/>
      <c r="E122" s="746"/>
      <c r="F122" s="746"/>
      <c r="G122" s="746"/>
      <c r="H122" s="749"/>
      <c r="I122" s="746"/>
      <c r="J122" s="748"/>
      <c r="K122" s="746"/>
      <c r="L122" s="748"/>
      <c r="M122" s="748"/>
      <c r="N122" s="743">
        <f t="shared" si="3"/>
        <v>0</v>
      </c>
      <c r="O122" s="717"/>
      <c r="P122" s="717"/>
      <c r="Q122" s="717"/>
      <c r="R122" s="717"/>
      <c r="S122" s="717"/>
      <c r="T122" s="717"/>
    </row>
    <row r="123" spans="1:20" hidden="1" outlineLevel="1" x14ac:dyDescent="0.2">
      <c r="A123" s="744"/>
      <c r="B123" s="744"/>
      <c r="C123" s="745"/>
      <c r="D123" s="746"/>
      <c r="E123" s="746"/>
      <c r="F123" s="746"/>
      <c r="G123" s="746"/>
      <c r="H123" s="749"/>
      <c r="I123" s="746"/>
      <c r="J123" s="748"/>
      <c r="K123" s="746"/>
      <c r="L123" s="748"/>
      <c r="M123" s="748"/>
      <c r="N123" s="743">
        <f t="shared" si="3"/>
        <v>0</v>
      </c>
      <c r="O123" s="717"/>
      <c r="P123" s="717"/>
      <c r="Q123" s="717"/>
      <c r="R123" s="717"/>
      <c r="S123" s="717"/>
      <c r="T123" s="717"/>
    </row>
    <row r="124" spans="1:20" hidden="1" outlineLevel="1" x14ac:dyDescent="0.2">
      <c r="A124" s="744"/>
      <c r="B124" s="744"/>
      <c r="C124" s="745"/>
      <c r="D124" s="746"/>
      <c r="E124" s="746"/>
      <c r="F124" s="746"/>
      <c r="G124" s="746"/>
      <c r="H124" s="749"/>
      <c r="I124" s="746"/>
      <c r="J124" s="748"/>
      <c r="K124" s="746"/>
      <c r="L124" s="748"/>
      <c r="M124" s="748"/>
      <c r="N124" s="743">
        <f t="shared" si="3"/>
        <v>0</v>
      </c>
      <c r="O124" s="717"/>
      <c r="P124" s="717"/>
      <c r="Q124" s="717"/>
      <c r="R124" s="717"/>
      <c r="S124" s="717"/>
      <c r="T124" s="717"/>
    </row>
    <row r="125" spans="1:20" hidden="1" outlineLevel="1" x14ac:dyDescent="0.2">
      <c r="A125" s="744"/>
      <c r="B125" s="744"/>
      <c r="C125" s="745"/>
      <c r="D125" s="746"/>
      <c r="E125" s="746"/>
      <c r="F125" s="746"/>
      <c r="G125" s="746"/>
      <c r="H125" s="749"/>
      <c r="I125" s="746"/>
      <c r="J125" s="748"/>
      <c r="K125" s="746"/>
      <c r="L125" s="748"/>
      <c r="M125" s="748"/>
      <c r="N125" s="743">
        <f t="shared" si="3"/>
        <v>0</v>
      </c>
      <c r="O125" s="717"/>
      <c r="P125" s="717"/>
      <c r="Q125" s="717"/>
      <c r="R125" s="717"/>
      <c r="S125" s="717"/>
      <c r="T125" s="717"/>
    </row>
    <row r="126" spans="1:20" hidden="1" outlineLevel="1" x14ac:dyDescent="0.2">
      <c r="A126" s="744"/>
      <c r="B126" s="744"/>
      <c r="C126" s="745"/>
      <c r="D126" s="746"/>
      <c r="E126" s="746"/>
      <c r="F126" s="746"/>
      <c r="G126" s="746"/>
      <c r="H126" s="749"/>
      <c r="I126" s="746"/>
      <c r="J126" s="748"/>
      <c r="K126" s="746"/>
      <c r="L126" s="748"/>
      <c r="M126" s="748"/>
      <c r="N126" s="743">
        <f t="shared" si="3"/>
        <v>0</v>
      </c>
      <c r="O126" s="717"/>
      <c r="P126" s="717"/>
      <c r="Q126" s="717"/>
      <c r="R126" s="717"/>
      <c r="S126" s="717"/>
      <c r="T126" s="717"/>
    </row>
    <row r="127" spans="1:20" hidden="1" outlineLevel="1" x14ac:dyDescent="0.2">
      <c r="A127" s="744"/>
      <c r="B127" s="744"/>
      <c r="C127" s="745"/>
      <c r="D127" s="746"/>
      <c r="E127" s="746"/>
      <c r="F127" s="746"/>
      <c r="G127" s="746"/>
      <c r="H127" s="749"/>
      <c r="I127" s="746"/>
      <c r="J127" s="748"/>
      <c r="K127" s="746"/>
      <c r="L127" s="748"/>
      <c r="M127" s="748"/>
      <c r="N127" s="743">
        <f t="shared" si="3"/>
        <v>0</v>
      </c>
      <c r="O127" s="717"/>
      <c r="P127" s="717"/>
      <c r="Q127" s="717"/>
      <c r="R127" s="717"/>
      <c r="S127" s="717"/>
      <c r="T127" s="717"/>
    </row>
    <row r="128" spans="1:20" hidden="1" outlineLevel="1" x14ac:dyDescent="0.2">
      <c r="A128" s="744"/>
      <c r="B128" s="744"/>
      <c r="C128" s="745"/>
      <c r="D128" s="746"/>
      <c r="E128" s="746"/>
      <c r="F128" s="746"/>
      <c r="G128" s="746"/>
      <c r="H128" s="749"/>
      <c r="I128" s="746"/>
      <c r="J128" s="748"/>
      <c r="K128" s="746"/>
      <c r="L128" s="748"/>
      <c r="M128" s="748"/>
      <c r="N128" s="743">
        <f t="shared" si="3"/>
        <v>0</v>
      </c>
      <c r="O128" s="717"/>
      <c r="P128" s="717"/>
      <c r="Q128" s="717"/>
      <c r="R128" s="717"/>
      <c r="S128" s="717"/>
      <c r="T128" s="717"/>
    </row>
    <row r="129" spans="1:20" collapsed="1" x14ac:dyDescent="0.2">
      <c r="A129" s="744"/>
      <c r="B129" s="744"/>
      <c r="C129" s="745"/>
      <c r="D129" s="746"/>
      <c r="E129" s="746"/>
      <c r="F129" s="746"/>
      <c r="G129" s="746"/>
      <c r="H129" s="749"/>
      <c r="I129" s="746"/>
      <c r="J129" s="748"/>
      <c r="K129" s="746"/>
      <c r="L129" s="748"/>
      <c r="M129" s="748"/>
      <c r="N129" s="743">
        <f t="shared" si="3"/>
        <v>0</v>
      </c>
      <c r="O129" s="717"/>
      <c r="P129" s="717"/>
      <c r="Q129" s="717"/>
      <c r="R129" s="717"/>
      <c r="S129" s="717"/>
      <c r="T129" s="717"/>
    </row>
    <row r="130" spans="1:20" x14ac:dyDescent="0.2">
      <c r="A130" s="744"/>
      <c r="B130" s="744"/>
      <c r="C130" s="745"/>
      <c r="D130" s="746"/>
      <c r="E130" s="746"/>
      <c r="F130" s="746"/>
      <c r="G130" s="746"/>
      <c r="H130" s="749"/>
      <c r="I130" s="746"/>
      <c r="J130" s="748"/>
      <c r="K130" s="746"/>
      <c r="L130" s="748"/>
      <c r="M130" s="748"/>
      <c r="N130" s="743">
        <f t="shared" si="3"/>
        <v>0</v>
      </c>
      <c r="O130" s="717"/>
      <c r="P130" s="717"/>
      <c r="Q130" s="717"/>
      <c r="R130" s="717"/>
      <c r="S130" s="717"/>
      <c r="T130" s="717"/>
    </row>
    <row r="131" spans="1:20" x14ac:dyDescent="0.2">
      <c r="A131" s="750"/>
      <c r="B131" s="750"/>
      <c r="C131" s="751"/>
      <c r="D131" s="752"/>
      <c r="E131" s="752"/>
      <c r="F131" s="752"/>
      <c r="G131" s="752"/>
      <c r="H131" s="753"/>
      <c r="I131" s="752"/>
      <c r="J131" s="754"/>
      <c r="K131" s="755"/>
      <c r="L131" s="754"/>
      <c r="M131" s="754"/>
      <c r="N131" s="743">
        <f t="shared" si="3"/>
        <v>0</v>
      </c>
      <c r="O131" s="717"/>
      <c r="P131" s="717"/>
      <c r="Q131" s="717"/>
      <c r="R131" s="717"/>
      <c r="S131" s="717"/>
      <c r="T131" s="717"/>
    </row>
    <row r="132" spans="1:20" x14ac:dyDescent="0.2">
      <c r="A132" s="1633" t="s">
        <v>1374</v>
      </c>
      <c r="B132" s="1634"/>
      <c r="C132" s="1634"/>
      <c r="D132" s="1635"/>
      <c r="E132" s="756">
        <f>SUM(E12:E131)</f>
        <v>229975000</v>
      </c>
      <c r="F132" s="756">
        <f t="shared" ref="F132:M132" si="4">SUM(F12:F131)</f>
        <v>34496000</v>
      </c>
      <c r="G132" s="756">
        <f t="shared" si="4"/>
        <v>5772000</v>
      </c>
      <c r="H132" s="757">
        <f t="shared" si="4"/>
        <v>0</v>
      </c>
      <c r="I132" s="756">
        <f t="shared" si="4"/>
        <v>0</v>
      </c>
      <c r="J132" s="756">
        <f>SUM(J12:J131)</f>
        <v>47000000</v>
      </c>
      <c r="K132" s="756">
        <f t="shared" si="4"/>
        <v>67000000</v>
      </c>
      <c r="L132" s="756">
        <f>SUM(L12:L131)</f>
        <v>12567000</v>
      </c>
      <c r="M132" s="756">
        <f t="shared" si="4"/>
        <v>11454000</v>
      </c>
      <c r="N132" s="756">
        <f>SUM(N13:N131)</f>
        <v>266222000</v>
      </c>
      <c r="O132" s="717"/>
      <c r="P132" s="717"/>
      <c r="Q132" s="717"/>
      <c r="R132" s="717"/>
      <c r="S132" s="717"/>
      <c r="T132" s="717"/>
    </row>
    <row r="133" spans="1:20" x14ac:dyDescent="0.2">
      <c r="A133" s="717"/>
      <c r="B133" s="717"/>
      <c r="C133" s="758"/>
      <c r="D133" s="759"/>
      <c r="E133" s="717"/>
      <c r="F133" s="760"/>
      <c r="G133" s="760"/>
      <c r="H133" s="761"/>
      <c r="I133" s="760"/>
      <c r="O133" s="717"/>
      <c r="P133" s="717"/>
      <c r="Q133" s="717"/>
      <c r="R133" s="717"/>
      <c r="S133" s="717"/>
      <c r="T133" s="717"/>
    </row>
    <row r="134" spans="1:20" x14ac:dyDescent="0.2">
      <c r="A134" s="717"/>
      <c r="B134" s="717"/>
      <c r="C134" s="717"/>
      <c r="D134" s="717"/>
      <c r="E134" s="717"/>
      <c r="F134" s="717"/>
      <c r="G134" s="717"/>
      <c r="H134" s="725"/>
      <c r="I134" s="717"/>
      <c r="J134" s="718"/>
      <c r="K134" s="718"/>
      <c r="L134" s="718"/>
      <c r="M134" s="718"/>
      <c r="N134" s="718"/>
      <c r="O134" s="717"/>
      <c r="P134" s="717"/>
      <c r="Q134" s="717"/>
      <c r="R134" s="717"/>
      <c r="S134" s="717"/>
      <c r="T134" s="717"/>
    </row>
    <row r="135" spans="1:20" x14ac:dyDescent="0.2">
      <c r="A135" s="1636" t="s">
        <v>1375</v>
      </c>
      <c r="B135" s="1636"/>
      <c r="C135" s="1636"/>
      <c r="D135" s="1636"/>
      <c r="E135" s="1636"/>
      <c r="F135" s="717"/>
      <c r="G135" s="717"/>
      <c r="H135" s="717"/>
      <c r="I135" s="717"/>
      <c r="J135" s="718"/>
      <c r="K135" s="718"/>
      <c r="L135" s="718"/>
      <c r="M135" s="718"/>
      <c r="N135" s="718"/>
      <c r="O135" s="717"/>
      <c r="P135" s="717"/>
      <c r="Q135" s="717"/>
      <c r="R135" s="717"/>
      <c r="S135" s="717"/>
      <c r="T135" s="717"/>
    </row>
    <row r="136" spans="1:20" x14ac:dyDescent="0.2">
      <c r="A136" s="1637" t="s">
        <v>1376</v>
      </c>
      <c r="B136" s="1637"/>
      <c r="C136" s="1637"/>
      <c r="D136" s="1637"/>
      <c r="E136" s="762">
        <f>+E132</f>
        <v>229975000</v>
      </c>
      <c r="F136" s="717"/>
      <c r="G136" s="717"/>
      <c r="H136" s="717"/>
      <c r="I136" s="717"/>
      <c r="J136" s="718"/>
      <c r="K136" s="718"/>
      <c r="L136" s="718"/>
      <c r="M136" s="718"/>
      <c r="N136" s="718"/>
      <c r="O136" s="717"/>
      <c r="P136" s="717"/>
      <c r="Q136" s="717"/>
      <c r="R136" s="717"/>
      <c r="S136" s="717"/>
      <c r="T136" s="717"/>
    </row>
    <row r="137" spans="1:20" x14ac:dyDescent="0.2">
      <c r="A137" s="1637" t="s">
        <v>1377</v>
      </c>
      <c r="B137" s="1637"/>
      <c r="C137" s="1637"/>
      <c r="D137" s="1637"/>
      <c r="E137" s="762">
        <f>+F132</f>
        <v>34496000</v>
      </c>
      <c r="F137" s="717"/>
      <c r="G137" s="717"/>
      <c r="H137" s="717"/>
      <c r="I137" s="717"/>
      <c r="J137" s="718"/>
      <c r="K137" s="718"/>
      <c r="L137" s="718"/>
      <c r="M137" s="718"/>
      <c r="N137" s="718"/>
      <c r="O137" s="717"/>
      <c r="P137" s="717"/>
      <c r="Q137" s="717"/>
      <c r="R137" s="717"/>
      <c r="S137" s="717"/>
      <c r="T137" s="717"/>
    </row>
    <row r="138" spans="1:20" x14ac:dyDescent="0.2">
      <c r="A138" s="1637" t="s">
        <v>1378</v>
      </c>
      <c r="B138" s="1637"/>
      <c r="C138" s="1637"/>
      <c r="D138" s="1637"/>
      <c r="E138" s="762">
        <f>+G132</f>
        <v>5772000</v>
      </c>
      <c r="F138" s="717"/>
      <c r="G138" s="717"/>
      <c r="H138" s="717"/>
      <c r="I138" s="717"/>
      <c r="J138" s="718"/>
      <c r="K138" s="718"/>
      <c r="L138" s="718"/>
      <c r="M138" s="718"/>
      <c r="N138" s="718"/>
      <c r="O138" s="717"/>
      <c r="P138" s="717"/>
      <c r="Q138" s="717"/>
      <c r="R138" s="717"/>
      <c r="S138" s="717"/>
      <c r="T138" s="717"/>
    </row>
    <row r="139" spans="1:20" x14ac:dyDescent="0.2">
      <c r="A139" s="1637" t="s">
        <v>1379</v>
      </c>
      <c r="B139" s="1637"/>
      <c r="C139" s="1637"/>
      <c r="D139" s="1637"/>
      <c r="E139" s="762">
        <f>+H132</f>
        <v>0</v>
      </c>
      <c r="F139" s="717"/>
      <c r="G139" s="717"/>
      <c r="H139" s="717"/>
      <c r="I139" s="717"/>
      <c r="J139" s="718"/>
      <c r="K139" s="718"/>
      <c r="L139" s="718"/>
      <c r="M139" s="718"/>
      <c r="N139" s="718"/>
      <c r="O139" s="717"/>
      <c r="P139" s="717"/>
      <c r="Q139" s="717"/>
      <c r="R139" s="717"/>
      <c r="S139" s="717"/>
      <c r="T139" s="717"/>
    </row>
    <row r="140" spans="1:20" x14ac:dyDescent="0.2">
      <c r="A140" s="1638" t="s">
        <v>1380</v>
      </c>
      <c r="B140" s="1638"/>
      <c r="C140" s="1638"/>
      <c r="D140" s="1638"/>
      <c r="E140" s="763">
        <f>-M132</f>
        <v>-11454000</v>
      </c>
      <c r="F140" s="717"/>
      <c r="G140" s="717"/>
      <c r="H140" s="717"/>
      <c r="I140" s="717"/>
      <c r="J140" s="718"/>
      <c r="K140" s="718"/>
      <c r="L140" s="718"/>
      <c r="M140" s="718"/>
      <c r="N140" s="718"/>
      <c r="O140" s="717"/>
      <c r="P140" s="717"/>
      <c r="Q140" s="717"/>
      <c r="R140" s="717"/>
      <c r="S140" s="717"/>
      <c r="T140" s="717"/>
    </row>
    <row r="141" spans="1:20" x14ac:dyDescent="0.2">
      <c r="A141" s="1638" t="s">
        <v>1381</v>
      </c>
      <c r="B141" s="1638"/>
      <c r="C141" s="1638"/>
      <c r="D141" s="1638"/>
      <c r="E141" s="763">
        <f>-S132</f>
        <v>0</v>
      </c>
      <c r="F141" s="717"/>
      <c r="G141" s="717"/>
      <c r="H141" s="717"/>
      <c r="I141" s="717"/>
      <c r="J141" s="718"/>
      <c r="K141" s="718"/>
      <c r="L141" s="718"/>
      <c r="M141" s="718"/>
      <c r="N141" s="718"/>
      <c r="O141" s="717"/>
      <c r="P141" s="717"/>
      <c r="Q141" s="717"/>
      <c r="R141" s="717"/>
      <c r="S141" s="717"/>
      <c r="T141" s="717"/>
    </row>
    <row r="142" spans="1:20" x14ac:dyDescent="0.2">
      <c r="A142" s="1638" t="s">
        <v>1382</v>
      </c>
      <c r="B142" s="1638"/>
      <c r="C142" s="1638"/>
      <c r="D142" s="1638"/>
      <c r="E142" s="763">
        <f>-X132</f>
        <v>0</v>
      </c>
      <c r="F142" s="717"/>
      <c r="G142" s="717"/>
      <c r="H142" s="717"/>
      <c r="I142" s="717"/>
      <c r="J142" s="718"/>
      <c r="K142" s="718"/>
      <c r="L142" s="718"/>
      <c r="M142" s="718"/>
      <c r="N142" s="718"/>
      <c r="O142" s="717"/>
      <c r="P142" s="717"/>
      <c r="Q142" s="717"/>
      <c r="R142" s="717"/>
      <c r="S142" s="717"/>
      <c r="T142" s="717"/>
    </row>
    <row r="143" spans="1:20" x14ac:dyDescent="0.2">
      <c r="A143" s="1630" t="s">
        <v>1383</v>
      </c>
      <c r="B143" s="1630"/>
      <c r="C143" s="1630"/>
      <c r="D143" s="1630"/>
      <c r="E143" s="764">
        <f>SUM(E136:E142)</f>
        <v>258789000</v>
      </c>
      <c r="F143" s="717"/>
      <c r="G143" s="717"/>
      <c r="H143" s="717"/>
      <c r="I143" s="717"/>
      <c r="J143" s="718"/>
      <c r="K143" s="718"/>
      <c r="L143" s="718"/>
      <c r="M143" s="718"/>
      <c r="N143" s="718"/>
      <c r="O143" s="717"/>
      <c r="P143" s="717"/>
      <c r="Q143" s="717"/>
      <c r="R143" s="717"/>
      <c r="S143" s="717"/>
      <c r="T143" s="717"/>
    </row>
    <row r="144" spans="1:20" x14ac:dyDescent="0.2">
      <c r="A144" s="717"/>
      <c r="B144" s="717"/>
      <c r="C144" s="717"/>
      <c r="D144" s="717"/>
      <c r="E144" s="717"/>
      <c r="F144" s="717"/>
      <c r="G144" s="717"/>
      <c r="H144" s="717"/>
      <c r="I144" s="717"/>
      <c r="J144" s="718"/>
      <c r="K144" s="718"/>
      <c r="L144" s="718"/>
      <c r="M144" s="718"/>
      <c r="N144" s="718"/>
      <c r="O144" s="717"/>
      <c r="P144" s="717"/>
      <c r="Q144" s="717"/>
      <c r="R144" s="717"/>
      <c r="S144" s="717"/>
      <c r="T144" s="717"/>
    </row>
    <row r="145" spans="1:20" x14ac:dyDescent="0.2">
      <c r="A145" s="717"/>
      <c r="B145" s="717"/>
      <c r="C145" s="717"/>
      <c r="D145" s="717"/>
      <c r="E145" s="717"/>
      <c r="F145" s="717"/>
      <c r="G145" s="717"/>
      <c r="H145" s="717"/>
      <c r="I145" s="717"/>
      <c r="J145" s="718"/>
      <c r="K145" s="718"/>
      <c r="L145" s="718"/>
      <c r="M145" s="718"/>
      <c r="N145" s="718"/>
      <c r="O145" s="717"/>
      <c r="P145" s="717"/>
      <c r="Q145" s="717"/>
      <c r="R145" s="717"/>
      <c r="S145" s="717"/>
      <c r="T145" s="717"/>
    </row>
    <row r="146" spans="1:20" x14ac:dyDescent="0.2">
      <c r="A146" s="717"/>
      <c r="B146" s="717"/>
      <c r="C146" s="717"/>
      <c r="D146" s="717"/>
      <c r="E146" s="717"/>
      <c r="F146" s="717"/>
      <c r="G146" s="717"/>
      <c r="H146" s="717"/>
      <c r="I146" s="717"/>
      <c r="J146" s="718"/>
      <c r="K146" s="718"/>
      <c r="L146" s="718"/>
      <c r="M146" s="718"/>
      <c r="N146" s="718"/>
      <c r="O146" s="717"/>
      <c r="P146" s="717"/>
      <c r="Q146" s="717"/>
      <c r="R146" s="717"/>
      <c r="S146" s="717"/>
      <c r="T146" s="717"/>
    </row>
    <row r="147" spans="1:20" x14ac:dyDescent="0.2">
      <c r="A147" s="717"/>
      <c r="B147" s="717"/>
      <c r="C147" s="717"/>
      <c r="D147" s="717"/>
      <c r="E147" s="717"/>
      <c r="F147" s="717"/>
      <c r="G147" s="717"/>
      <c r="H147" s="717"/>
      <c r="I147" s="717"/>
      <c r="J147" s="718"/>
      <c r="K147" s="718"/>
      <c r="L147" s="718"/>
      <c r="M147" s="718"/>
      <c r="N147" s="718"/>
      <c r="O147" s="717"/>
      <c r="P147" s="717"/>
      <c r="Q147" s="717"/>
      <c r="R147" s="717"/>
      <c r="S147" s="717"/>
      <c r="T147" s="717"/>
    </row>
    <row r="148" spans="1:20" x14ac:dyDescent="0.2">
      <c r="A148" s="717"/>
      <c r="B148" s="717"/>
      <c r="C148" s="717"/>
      <c r="D148" s="717"/>
      <c r="E148" s="717"/>
      <c r="F148" s="717"/>
      <c r="G148" s="717"/>
      <c r="H148" s="717"/>
      <c r="I148" s="717"/>
      <c r="J148" s="718"/>
      <c r="K148" s="718"/>
      <c r="L148" s="718"/>
      <c r="M148" s="718"/>
      <c r="N148" s="718"/>
      <c r="O148" s="717"/>
      <c r="P148" s="717"/>
      <c r="Q148" s="717"/>
      <c r="R148" s="717"/>
      <c r="S148" s="717"/>
      <c r="T148" s="717"/>
    </row>
    <row r="149" spans="1:20" x14ac:dyDescent="0.2">
      <c r="A149" s="717"/>
      <c r="B149" s="717"/>
      <c r="C149" s="717"/>
      <c r="D149" s="717"/>
      <c r="E149" s="717"/>
      <c r="F149" s="717"/>
      <c r="G149" s="717"/>
      <c r="H149" s="717"/>
      <c r="I149" s="717"/>
      <c r="J149" s="718"/>
      <c r="K149" s="718"/>
      <c r="L149" s="718"/>
      <c r="M149" s="718"/>
      <c r="N149" s="718"/>
      <c r="O149" s="717"/>
      <c r="P149" s="717"/>
      <c r="Q149" s="717"/>
      <c r="R149" s="717"/>
      <c r="S149" s="717"/>
      <c r="T149" s="717"/>
    </row>
    <row r="150" spans="1:20" x14ac:dyDescent="0.2">
      <c r="A150" s="717"/>
      <c r="B150" s="717"/>
      <c r="C150" s="717"/>
      <c r="D150" s="717"/>
      <c r="E150" s="717"/>
      <c r="F150" s="717"/>
      <c r="G150" s="717"/>
      <c r="H150" s="717"/>
      <c r="I150" s="717"/>
      <c r="J150" s="718"/>
      <c r="K150" s="718"/>
      <c r="L150" s="718"/>
      <c r="M150" s="718"/>
      <c r="N150" s="718"/>
      <c r="O150" s="717"/>
      <c r="P150" s="717"/>
      <c r="Q150" s="717"/>
      <c r="R150" s="717"/>
      <c r="S150" s="717"/>
      <c r="T150" s="717"/>
    </row>
    <row r="151" spans="1:20" x14ac:dyDescent="0.2">
      <c r="A151" s="717"/>
      <c r="B151" s="717"/>
      <c r="C151" s="717"/>
      <c r="D151" s="717"/>
      <c r="E151" s="717"/>
      <c r="F151" s="717"/>
      <c r="G151" s="717"/>
      <c r="H151" s="717"/>
      <c r="I151" s="717"/>
      <c r="J151" s="718"/>
      <c r="K151" s="718"/>
      <c r="L151" s="718"/>
      <c r="M151" s="718"/>
      <c r="N151" s="718"/>
      <c r="O151" s="717"/>
      <c r="P151" s="717"/>
      <c r="Q151" s="717"/>
      <c r="R151" s="717"/>
      <c r="S151" s="717"/>
      <c r="T151" s="717"/>
    </row>
    <row r="152" spans="1:20" x14ac:dyDescent="0.2">
      <c r="A152" s="717"/>
      <c r="B152" s="717"/>
      <c r="C152" s="717"/>
      <c r="D152" s="717"/>
      <c r="E152" s="717"/>
      <c r="F152" s="717"/>
      <c r="G152" s="717"/>
      <c r="H152" s="717"/>
      <c r="I152" s="717"/>
      <c r="J152" s="718"/>
      <c r="K152" s="718"/>
      <c r="L152" s="718"/>
      <c r="M152" s="718"/>
      <c r="N152" s="718"/>
      <c r="O152" s="717"/>
      <c r="P152" s="717"/>
      <c r="Q152" s="717"/>
      <c r="R152" s="717"/>
      <c r="S152" s="717"/>
      <c r="T152" s="717"/>
    </row>
    <row r="153" spans="1:20" x14ac:dyDescent="0.2">
      <c r="A153" s="717"/>
      <c r="B153" s="717"/>
      <c r="C153" s="717"/>
      <c r="D153" s="717"/>
      <c r="E153" s="717"/>
      <c r="F153" s="717"/>
      <c r="G153" s="717"/>
      <c r="H153" s="717"/>
      <c r="I153" s="717"/>
      <c r="J153" s="718"/>
      <c r="K153" s="718"/>
      <c r="L153" s="718"/>
      <c r="M153" s="718"/>
      <c r="N153" s="718"/>
      <c r="O153" s="717"/>
      <c r="P153" s="717"/>
      <c r="Q153" s="717"/>
      <c r="R153" s="717"/>
      <c r="S153" s="717"/>
      <c r="T153" s="717"/>
    </row>
    <row r="154" spans="1:20" x14ac:dyDescent="0.2">
      <c r="A154" s="717"/>
      <c r="B154" s="717"/>
      <c r="C154" s="717"/>
      <c r="D154" s="717"/>
      <c r="E154" s="717"/>
      <c r="F154" s="717"/>
      <c r="G154" s="717"/>
      <c r="H154" s="717"/>
      <c r="I154" s="717"/>
      <c r="J154" s="718"/>
      <c r="K154" s="718"/>
      <c r="L154" s="718"/>
      <c r="M154" s="718"/>
      <c r="N154" s="718"/>
      <c r="O154" s="717"/>
      <c r="P154" s="717"/>
      <c r="Q154" s="717"/>
      <c r="R154" s="717"/>
      <c r="S154" s="717"/>
      <c r="T154" s="717"/>
    </row>
    <row r="155" spans="1:20" x14ac:dyDescent="0.2">
      <c r="A155" s="717"/>
      <c r="B155" s="717"/>
      <c r="C155" s="717"/>
      <c r="D155" s="717"/>
      <c r="E155" s="717"/>
      <c r="F155" s="717"/>
      <c r="G155" s="717"/>
      <c r="H155" s="717"/>
      <c r="I155" s="717"/>
      <c r="J155" s="718"/>
      <c r="K155" s="718"/>
      <c r="L155" s="718"/>
      <c r="M155" s="718"/>
      <c r="N155" s="718"/>
      <c r="O155" s="717"/>
      <c r="P155" s="717"/>
      <c r="Q155" s="717"/>
      <c r="R155" s="717"/>
      <c r="S155" s="717"/>
      <c r="T155" s="717"/>
    </row>
    <row r="156" spans="1:20" x14ac:dyDescent="0.2">
      <c r="A156" s="717"/>
      <c r="B156" s="717"/>
      <c r="C156" s="717"/>
      <c r="D156" s="717"/>
      <c r="E156" s="717"/>
      <c r="F156" s="717"/>
      <c r="G156" s="717"/>
      <c r="H156" s="717"/>
      <c r="I156" s="717"/>
      <c r="J156" s="718"/>
      <c r="K156" s="718"/>
      <c r="L156" s="718"/>
      <c r="M156" s="718"/>
      <c r="N156" s="718"/>
      <c r="O156" s="717"/>
      <c r="P156" s="717"/>
      <c r="Q156" s="717"/>
      <c r="R156" s="717"/>
      <c r="S156" s="717"/>
      <c r="T156" s="717"/>
    </row>
  </sheetData>
  <mergeCells count="18">
    <mergeCell ref="A8:D8"/>
    <mergeCell ref="A1:F1"/>
    <mergeCell ref="A4:E4"/>
    <mergeCell ref="A5:D5"/>
    <mergeCell ref="A6:D6"/>
    <mergeCell ref="A7:D7"/>
    <mergeCell ref="A143:D143"/>
    <mergeCell ref="A9:D9"/>
    <mergeCell ref="I9:L9"/>
    <mergeCell ref="A132:D132"/>
    <mergeCell ref="A135:E135"/>
    <mergeCell ref="A136:D136"/>
    <mergeCell ref="A137:D137"/>
    <mergeCell ref="A138:D138"/>
    <mergeCell ref="A139:D139"/>
    <mergeCell ref="A140:D140"/>
    <mergeCell ref="A141:D141"/>
    <mergeCell ref="A142:D142"/>
  </mergeCells>
  <dataValidations count="8">
    <dataValidation allowBlank="1" showInputMessage="1" showErrorMessage="1" prompt="Este valor corresponde a los valores digitados como autorretención de ICA sin haber elegido que es para descuento tributario.. en deducción no se debe tener en cuenta." sqref="E142" xr:uid="{00000000-0002-0000-2100-000000000000}"/>
    <dataValidation allowBlank="1" showInputMessage="1" showErrorMessage="1" prompt="Este valor no se tiene en cuenta como deducción." sqref="E139" xr:uid="{00000000-0002-0000-2100-000001000000}"/>
    <dataValidation allowBlank="1" showInputMessage="1" showErrorMessage="1" prompt="Este valor se declara como deducción " sqref="E143" xr:uid="{00000000-0002-0000-2100-000002000000}"/>
    <dataValidation allowBlank="1" showInputMessage="1" showErrorMessage="1" prompt="Digite el valor Devengado (causado) dentro del año gravable y que haya sido pagado antes de presentar la declaración de renta. Art. 115-1 ET._x000a_" sqref="G13:G131" xr:uid="{00000000-0002-0000-2100-000003000000}"/>
    <dataValidation allowBlank="1" showInputMessage="1" showErrorMessage="1" prompt="Digite el valor Devengado (causado) dentro del año gravable y que haya sido pagado antes de presentar la declaración de renta. Art. 115-1 ET._x000a_Para manejar el ICA como descuento tributario, digite o selccine S en la columna P Descuentos Tributarios" sqref="E13:F131" xr:uid="{00000000-0002-0000-2100-000004000000}"/>
    <dataValidation type="decimal" operator="greaterThan" allowBlank="1" showInputMessage="1" showErrorMessage="1" error="Digite cifras positivas" prompt="Lo digitado en esta celda no afecta el cálculo de la deducibilidad, este dato es solo es para verificar que el valor a pagar cuadre. es opcional su diligenciamiento." sqref="I13:L131" xr:uid="{00000000-0002-0000-2100-000005000000}">
      <formula1>-1</formula1>
    </dataValidation>
    <dataValidation type="decimal" operator="greaterThan" allowBlank="1" showInputMessage="1" showErrorMessage="1" error="Digite cifras positivas" prompt="Digite el descuento obtenido por pronto pago" sqref="M13:M131" xr:uid="{00000000-0002-0000-2100-000006000000}">
      <formula1>-1</formula1>
    </dataValidation>
    <dataValidation allowBlank="1" showInputMessage="1" showErrorMessage="1" prompt="Digite el valor de industria y comercio, avisos y tableros y tasa bomberil causado en contabilidad._x000a_" sqref="E6:E8" xr:uid="{00000000-0002-0000-2100-000007000000}"/>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Y68"/>
  <sheetViews>
    <sheetView showGridLines="0" topLeftCell="A55" zoomScale="140" zoomScaleNormal="140" workbookViewId="0">
      <selection activeCell="B16" sqref="B16"/>
    </sheetView>
  </sheetViews>
  <sheetFormatPr baseColWidth="10" defaultRowHeight="12.75" x14ac:dyDescent="0.2"/>
  <cols>
    <col min="1" max="1" width="19" customWidth="1"/>
    <col min="2" max="2" width="20.5703125" customWidth="1"/>
    <col min="3" max="3" width="18.140625" customWidth="1"/>
  </cols>
  <sheetData>
    <row r="1" spans="1:51" ht="14.25" x14ac:dyDescent="0.2">
      <c r="A1" s="713" t="s">
        <v>2171</v>
      </c>
      <c r="B1" s="713"/>
      <c r="C1" s="713"/>
      <c r="D1" s="713"/>
      <c r="E1" s="713"/>
      <c r="F1" s="713"/>
      <c r="G1" s="713"/>
      <c r="H1" s="713"/>
      <c r="I1" s="769"/>
      <c r="J1" s="769"/>
      <c r="K1" s="769"/>
      <c r="L1" s="769"/>
      <c r="M1" s="769"/>
      <c r="N1" s="769"/>
      <c r="O1" s="769"/>
      <c r="P1" s="769"/>
      <c r="Q1" s="712"/>
      <c r="R1" s="765" t="s">
        <v>1385</v>
      </c>
      <c r="S1" s="712"/>
      <c r="T1" s="712"/>
      <c r="U1" s="766" t="e">
        <f>+AA37</f>
        <v>#REF!</v>
      </c>
      <c r="V1" s="712"/>
      <c r="W1" s="712"/>
      <c r="X1" s="712"/>
      <c r="Y1" s="712"/>
      <c r="Z1" s="712"/>
      <c r="AA1" s="712"/>
      <c r="AB1" s="712"/>
      <c r="AC1" s="712"/>
      <c r="AD1" s="712"/>
      <c r="AE1" s="712"/>
      <c r="AF1" s="712"/>
      <c r="AG1" s="712"/>
    </row>
    <row r="2" spans="1:51" ht="14.25" x14ac:dyDescent="0.2">
      <c r="A2" s="767"/>
      <c r="B2" s="767"/>
      <c r="C2" s="723"/>
      <c r="D2" s="723"/>
      <c r="E2" s="723"/>
      <c r="F2" s="723"/>
      <c r="G2" s="723"/>
      <c r="H2" s="723"/>
      <c r="I2" s="723"/>
      <c r="J2" s="723"/>
      <c r="K2" s="723"/>
      <c r="L2" s="714"/>
      <c r="M2" s="714"/>
      <c r="N2" s="714"/>
      <c r="O2" s="715"/>
      <c r="P2" s="715"/>
      <c r="Q2" s="714"/>
      <c r="R2" s="768" t="e">
        <f>+#REF!</f>
        <v>#REF!</v>
      </c>
      <c r="S2" s="714"/>
      <c r="T2" s="714"/>
      <c r="U2" s="714"/>
      <c r="V2" s="714"/>
      <c r="W2" s="714"/>
      <c r="X2" s="714"/>
      <c r="Y2" s="714"/>
      <c r="Z2" s="714"/>
      <c r="AA2" s="714"/>
      <c r="AB2" s="714"/>
      <c r="AC2" s="714"/>
      <c r="AD2" s="714"/>
      <c r="AE2" s="714"/>
      <c r="AF2" s="714"/>
      <c r="AG2" s="714"/>
    </row>
    <row r="3" spans="1:51" ht="14.25" x14ac:dyDescent="0.2">
      <c r="A3" s="1645" t="s">
        <v>1386</v>
      </c>
      <c r="B3" s="1645"/>
      <c r="C3" s="1645"/>
      <c r="D3" s="1645"/>
      <c r="E3" s="1645"/>
      <c r="F3" s="769"/>
      <c r="G3" s="769"/>
      <c r="H3" s="769"/>
      <c r="I3" s="769"/>
      <c r="J3" s="769"/>
      <c r="K3" s="770"/>
      <c r="L3" s="771"/>
      <c r="M3" s="714"/>
      <c r="N3" s="714"/>
      <c r="O3" s="715"/>
      <c r="P3" s="715"/>
      <c r="Q3" s="714"/>
      <c r="R3" s="714"/>
      <c r="S3" s="714"/>
      <c r="T3" s="714"/>
      <c r="U3" s="714"/>
      <c r="V3" s="714"/>
      <c r="W3" s="714"/>
      <c r="X3" s="714"/>
      <c r="Y3" s="714"/>
      <c r="Z3" s="714"/>
      <c r="AA3" s="714"/>
      <c r="AB3" s="714"/>
      <c r="AC3" s="714"/>
      <c r="AD3" s="714"/>
      <c r="AE3" s="714"/>
      <c r="AF3" s="714"/>
      <c r="AG3" s="714"/>
    </row>
    <row r="4" spans="1:51" ht="14.25" x14ac:dyDescent="0.2">
      <c r="A4" s="1646" t="s">
        <v>1387</v>
      </c>
      <c r="B4" s="1646"/>
      <c r="C4" s="1646"/>
      <c r="D4" s="772"/>
      <c r="E4" s="772"/>
      <c r="F4" s="772"/>
      <c r="G4" s="772"/>
      <c r="H4" s="772"/>
      <c r="I4" s="772"/>
      <c r="J4" s="772"/>
      <c r="K4" s="772"/>
      <c r="L4" s="771"/>
      <c r="M4" s="714"/>
      <c r="N4" s="714"/>
      <c r="O4" s="715"/>
      <c r="P4" s="715"/>
      <c r="Q4" s="714"/>
      <c r="R4" s="714"/>
      <c r="S4" s="714"/>
      <c r="T4" s="714"/>
      <c r="U4" s="714"/>
      <c r="V4" s="714"/>
      <c r="W4" s="714"/>
      <c r="X4" s="714"/>
      <c r="Y4" s="714"/>
      <c r="Z4" s="714"/>
      <c r="AA4" s="714"/>
      <c r="AB4" s="714"/>
      <c r="AC4" s="714"/>
      <c r="AD4" s="714"/>
      <c r="AE4" s="714"/>
      <c r="AF4" s="714"/>
      <c r="AG4" s="714"/>
    </row>
    <row r="5" spans="1:51" ht="14.25" x14ac:dyDescent="0.2">
      <c r="A5" s="1644" t="s">
        <v>1388</v>
      </c>
      <c r="B5" s="1644"/>
      <c r="C5" s="1644"/>
      <c r="D5" s="1644"/>
      <c r="E5" s="1644"/>
      <c r="F5" s="1644"/>
      <c r="G5" s="1644"/>
      <c r="H5" s="1644"/>
      <c r="I5" s="1644"/>
      <c r="J5" s="772"/>
      <c r="K5" s="772"/>
      <c r="L5" s="771"/>
      <c r="M5" s="714"/>
      <c r="N5" s="714"/>
      <c r="O5" s="715"/>
      <c r="P5" s="715"/>
      <c r="Q5" s="714"/>
      <c r="R5" s="714"/>
      <c r="S5" s="714"/>
      <c r="T5" s="714"/>
      <c r="U5" s="714"/>
      <c r="V5" s="714"/>
      <c r="W5" s="714"/>
      <c r="X5" s="714"/>
      <c r="Y5" s="714"/>
      <c r="Z5" s="714"/>
      <c r="AA5" s="714"/>
      <c r="AB5" s="714"/>
      <c r="AC5" s="714"/>
      <c r="AD5" s="714"/>
      <c r="AE5" s="714"/>
      <c r="AF5" s="714"/>
      <c r="AG5" s="714"/>
    </row>
    <row r="6" spans="1:51" ht="14.25" x14ac:dyDescent="0.2">
      <c r="A6" s="772"/>
      <c r="B6" s="772"/>
      <c r="C6" s="772"/>
      <c r="D6" s="772"/>
      <c r="E6" s="772"/>
      <c r="F6" s="772"/>
      <c r="G6" s="772"/>
      <c r="H6" s="772"/>
      <c r="I6" s="772"/>
      <c r="J6" s="772"/>
      <c r="K6" s="772"/>
      <c r="L6" s="771"/>
      <c r="M6" s="714"/>
      <c r="N6" s="714"/>
      <c r="O6" s="715"/>
      <c r="P6" s="715"/>
      <c r="Q6" s="714"/>
      <c r="R6" s="714"/>
      <c r="S6" s="714"/>
      <c r="T6" s="714"/>
      <c r="U6" s="714"/>
      <c r="V6" s="714"/>
      <c r="W6" s="714"/>
      <c r="X6" s="714"/>
      <c r="Y6" s="714"/>
      <c r="Z6" s="714"/>
      <c r="AA6" s="714"/>
      <c r="AB6" s="714"/>
      <c r="AC6" s="714"/>
      <c r="AD6" s="714"/>
      <c r="AE6" s="714"/>
      <c r="AF6" s="714"/>
      <c r="AG6" s="714"/>
    </row>
    <row r="7" spans="1:51" ht="14.25" x14ac:dyDescent="0.2">
      <c r="A7" s="773" t="s">
        <v>1389</v>
      </c>
      <c r="B7" s="773" t="s">
        <v>1390</v>
      </c>
      <c r="C7" s="773" t="s">
        <v>1391</v>
      </c>
      <c r="D7" s="772"/>
      <c r="E7" s="772"/>
      <c r="F7" s="772"/>
      <c r="G7" s="772"/>
      <c r="H7" s="772"/>
      <c r="I7" s="772"/>
      <c r="J7" s="772"/>
      <c r="K7" s="772"/>
      <c r="L7" s="772"/>
      <c r="M7" s="772"/>
      <c r="N7" s="772"/>
      <c r="O7" s="772"/>
      <c r="P7" s="772"/>
      <c r="Q7" s="772"/>
      <c r="R7" s="772"/>
      <c r="S7" s="772"/>
      <c r="T7" s="772"/>
      <c r="U7" s="772"/>
      <c r="V7" s="772"/>
      <c r="W7" s="772"/>
      <c r="X7" s="772"/>
      <c r="Y7" s="772"/>
      <c r="Z7" s="772"/>
      <c r="AA7" s="772"/>
      <c r="AB7" s="772"/>
      <c r="AC7" s="772"/>
      <c r="AD7" s="772"/>
      <c r="AE7" s="772"/>
      <c r="AF7" s="772"/>
      <c r="AG7" s="772"/>
      <c r="AH7" s="772"/>
      <c r="AI7" s="772"/>
      <c r="AJ7" s="772"/>
      <c r="AK7" s="772"/>
      <c r="AL7" s="772"/>
      <c r="AM7" s="772"/>
      <c r="AN7" s="772"/>
      <c r="AO7" s="772"/>
      <c r="AP7" s="772"/>
      <c r="AQ7" s="772"/>
      <c r="AR7" s="772"/>
      <c r="AS7" s="772"/>
      <c r="AT7" s="772"/>
      <c r="AU7" s="772"/>
      <c r="AV7" s="772"/>
      <c r="AW7" s="772"/>
      <c r="AX7" s="772"/>
      <c r="AY7" s="772"/>
    </row>
    <row r="8" spans="1:51" ht="14.25" x14ac:dyDescent="0.2">
      <c r="A8" s="774">
        <v>2007</v>
      </c>
      <c r="B8" s="775"/>
      <c r="C8" s="776"/>
      <c r="D8" s="772"/>
      <c r="E8" s="772"/>
      <c r="F8" s="772"/>
      <c r="G8" s="772"/>
      <c r="H8" s="772"/>
      <c r="I8" s="772"/>
      <c r="J8" s="772"/>
      <c r="K8" s="772"/>
      <c r="L8" s="772"/>
      <c r="M8" s="772"/>
      <c r="N8" s="772"/>
      <c r="O8" s="772"/>
      <c r="P8" s="772"/>
      <c r="Q8" s="772"/>
      <c r="R8" s="772"/>
      <c r="S8" s="772"/>
      <c r="T8" s="772"/>
      <c r="U8" s="772"/>
      <c r="V8" s="772"/>
      <c r="W8" s="772"/>
      <c r="X8" s="772"/>
      <c r="Y8" s="772"/>
      <c r="Z8" s="772"/>
      <c r="AA8" s="772"/>
      <c r="AB8" s="772"/>
      <c r="AC8" s="772"/>
      <c r="AD8" s="772"/>
      <c r="AE8" s="772"/>
      <c r="AF8" s="772"/>
      <c r="AG8" s="772"/>
      <c r="AH8" s="772"/>
      <c r="AI8" s="772"/>
      <c r="AJ8" s="772"/>
      <c r="AK8" s="772"/>
      <c r="AL8" s="772"/>
      <c r="AM8" s="772"/>
      <c r="AN8" s="772"/>
      <c r="AO8" s="772"/>
      <c r="AP8" s="772"/>
      <c r="AQ8" s="772"/>
      <c r="AR8" s="772"/>
      <c r="AS8" s="772"/>
      <c r="AT8" s="772"/>
      <c r="AU8" s="772"/>
      <c r="AV8" s="772"/>
      <c r="AW8" s="772"/>
      <c r="AX8" s="772"/>
      <c r="AY8" s="772"/>
    </row>
    <row r="9" spans="1:51" ht="14.25" x14ac:dyDescent="0.2">
      <c r="A9" s="774">
        <v>2008</v>
      </c>
      <c r="B9" s="775"/>
      <c r="C9" s="777">
        <v>7.7499999999999999E-2</v>
      </c>
      <c r="D9" s="772"/>
      <c r="E9" s="772"/>
      <c r="F9" s="772"/>
      <c r="G9" s="772"/>
      <c r="H9" s="772"/>
      <c r="I9" s="772"/>
      <c r="J9" s="772"/>
      <c r="K9" s="772"/>
      <c r="L9" s="772"/>
      <c r="M9" s="772"/>
      <c r="N9" s="772"/>
      <c r="O9" s="772"/>
      <c r="P9" s="772"/>
      <c r="Q9" s="772"/>
      <c r="R9" s="772"/>
      <c r="S9" s="772"/>
      <c r="T9" s="772"/>
      <c r="U9" s="772"/>
      <c r="V9" s="772"/>
      <c r="W9" s="772"/>
      <c r="X9" s="772"/>
      <c r="Y9" s="772"/>
      <c r="Z9" s="772"/>
      <c r="AA9" s="772"/>
      <c r="AB9" s="772"/>
      <c r="AC9" s="772"/>
      <c r="AD9" s="772"/>
      <c r="AE9" s="772"/>
      <c r="AF9" s="772"/>
      <c r="AG9" s="772"/>
      <c r="AH9" s="772"/>
      <c r="AI9" s="772"/>
      <c r="AJ9" s="772"/>
      <c r="AK9" s="772"/>
      <c r="AL9" s="772"/>
      <c r="AM9" s="772"/>
      <c r="AN9" s="772"/>
      <c r="AO9" s="772"/>
      <c r="AP9" s="772"/>
      <c r="AQ9" s="772"/>
      <c r="AR9" s="772"/>
      <c r="AS9" s="772"/>
      <c r="AT9" s="772"/>
      <c r="AU9" s="772"/>
      <c r="AV9" s="772"/>
      <c r="AW9" s="772"/>
      <c r="AX9" s="772"/>
      <c r="AY9" s="772"/>
    </row>
    <row r="10" spans="1:51" ht="14.25" x14ac:dyDescent="0.2">
      <c r="A10" s="778">
        <v>2009</v>
      </c>
      <c r="B10" s="779"/>
      <c r="C10" s="780">
        <v>3.3300000000000003E-2</v>
      </c>
      <c r="D10" s="772"/>
      <c r="E10" s="772"/>
      <c r="F10" s="772"/>
      <c r="G10" s="772"/>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2"/>
      <c r="AY10" s="772"/>
    </row>
    <row r="11" spans="1:51" ht="14.25" x14ac:dyDescent="0.2">
      <c r="A11" s="778">
        <v>2010</v>
      </c>
      <c r="B11" s="779"/>
      <c r="C11" s="780">
        <v>2.35E-2</v>
      </c>
      <c r="D11" s="772"/>
      <c r="E11" s="772"/>
      <c r="F11" s="772"/>
      <c r="G11" s="772"/>
      <c r="H11" s="772"/>
      <c r="I11" s="772"/>
      <c r="J11" s="772"/>
      <c r="K11" s="772"/>
      <c r="L11" s="772"/>
      <c r="M11" s="772"/>
      <c r="N11" s="772"/>
      <c r="O11" s="772"/>
      <c r="P11" s="772"/>
      <c r="Q11" s="772"/>
      <c r="R11" s="772"/>
      <c r="S11" s="772"/>
      <c r="T11" s="772"/>
      <c r="U11" s="772"/>
      <c r="V11" s="772"/>
      <c r="W11" s="772"/>
      <c r="X11" s="772"/>
      <c r="Y11" s="772"/>
      <c r="Z11" s="772"/>
      <c r="AA11" s="772"/>
      <c r="AB11" s="772"/>
      <c r="AC11" s="772"/>
      <c r="AD11" s="772"/>
      <c r="AE11" s="772"/>
      <c r="AF11" s="772"/>
      <c r="AG11" s="772"/>
      <c r="AH11" s="772"/>
      <c r="AI11" s="772"/>
      <c r="AJ11" s="772"/>
      <c r="AK11" s="772"/>
      <c r="AL11" s="772"/>
      <c r="AM11" s="772"/>
      <c r="AN11" s="772"/>
      <c r="AO11" s="772"/>
      <c r="AP11" s="772"/>
      <c r="AQ11" s="772"/>
      <c r="AR11" s="772"/>
      <c r="AS11" s="772"/>
      <c r="AT11" s="772"/>
      <c r="AU11" s="772"/>
      <c r="AV11" s="772"/>
      <c r="AW11" s="772"/>
      <c r="AX11" s="772"/>
      <c r="AY11" s="772"/>
    </row>
    <row r="12" spans="1:51" ht="14.25" x14ac:dyDescent="0.2">
      <c r="A12" s="778">
        <v>2011</v>
      </c>
      <c r="B12" s="779"/>
      <c r="C12" s="780">
        <v>3.6499999999999998E-2</v>
      </c>
      <c r="D12" s="772"/>
      <c r="E12" s="772"/>
      <c r="F12" s="772"/>
      <c r="G12" s="772"/>
      <c r="H12" s="772"/>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2"/>
      <c r="AL12" s="772"/>
      <c r="AM12" s="772"/>
      <c r="AN12" s="772"/>
      <c r="AO12" s="772"/>
      <c r="AP12" s="772"/>
      <c r="AQ12" s="772"/>
      <c r="AR12" s="772"/>
      <c r="AS12" s="772"/>
      <c r="AT12" s="772"/>
      <c r="AU12" s="772"/>
      <c r="AV12" s="772"/>
      <c r="AW12" s="772"/>
      <c r="AX12" s="772"/>
      <c r="AY12" s="772"/>
    </row>
    <row r="13" spans="1:51" ht="14.25" x14ac:dyDescent="0.2">
      <c r="A13" s="778">
        <v>2012</v>
      </c>
      <c r="B13" s="779"/>
      <c r="C13" s="780">
        <v>3.04E-2</v>
      </c>
      <c r="D13" s="772"/>
      <c r="E13" s="772"/>
      <c r="F13" s="772"/>
      <c r="G13" s="772"/>
      <c r="H13" s="772"/>
      <c r="I13" s="772"/>
      <c r="J13" s="772"/>
      <c r="K13" s="772"/>
      <c r="L13" s="772"/>
      <c r="M13" s="772"/>
      <c r="N13" s="772"/>
      <c r="O13" s="772"/>
      <c r="P13" s="772"/>
      <c r="Q13" s="772"/>
      <c r="R13" s="772"/>
      <c r="S13" s="772"/>
      <c r="T13" s="772"/>
      <c r="U13" s="772"/>
      <c r="V13" s="772"/>
      <c r="W13" s="772"/>
      <c r="X13" s="772"/>
      <c r="Y13" s="772"/>
      <c r="Z13" s="772"/>
      <c r="AA13" s="772"/>
      <c r="AB13" s="772"/>
      <c r="AC13" s="772"/>
      <c r="AD13" s="772"/>
      <c r="AE13" s="772"/>
      <c r="AF13" s="772"/>
      <c r="AG13" s="772"/>
      <c r="AH13" s="772"/>
      <c r="AI13" s="772"/>
      <c r="AJ13" s="772"/>
      <c r="AK13" s="772"/>
      <c r="AL13" s="772"/>
      <c r="AM13" s="772"/>
      <c r="AN13" s="772"/>
      <c r="AO13" s="772"/>
      <c r="AP13" s="772"/>
      <c r="AQ13" s="772"/>
      <c r="AR13" s="772"/>
      <c r="AS13" s="772"/>
      <c r="AT13" s="772"/>
      <c r="AU13" s="772"/>
      <c r="AV13" s="772"/>
      <c r="AW13" s="772"/>
      <c r="AX13" s="772"/>
      <c r="AY13" s="772"/>
    </row>
    <row r="14" spans="1:51" ht="14.25" x14ac:dyDescent="0.2">
      <c r="A14" s="778">
        <v>2013</v>
      </c>
      <c r="B14" s="779"/>
      <c r="C14" s="780">
        <v>2.4E-2</v>
      </c>
      <c r="D14" s="772"/>
      <c r="E14" s="772"/>
      <c r="F14" s="772"/>
      <c r="G14" s="772"/>
      <c r="H14" s="772"/>
      <c r="I14" s="772"/>
      <c r="J14" s="772"/>
      <c r="K14" s="772"/>
      <c r="L14" s="772"/>
      <c r="M14" s="772"/>
      <c r="N14" s="772"/>
      <c r="O14" s="772"/>
      <c r="P14" s="772"/>
      <c r="Q14" s="772"/>
      <c r="R14" s="772"/>
      <c r="S14" s="772"/>
      <c r="T14" s="772"/>
      <c r="U14" s="772"/>
      <c r="V14" s="772"/>
      <c r="W14" s="772"/>
      <c r="X14" s="772"/>
      <c r="Y14" s="772"/>
      <c r="Z14" s="772"/>
      <c r="AA14" s="772"/>
      <c r="AB14" s="772"/>
      <c r="AC14" s="772"/>
      <c r="AD14" s="772"/>
      <c r="AE14" s="772"/>
      <c r="AF14" s="772"/>
      <c r="AG14" s="772"/>
      <c r="AH14" s="772"/>
      <c r="AI14" s="772"/>
      <c r="AJ14" s="772"/>
      <c r="AK14" s="772"/>
      <c r="AL14" s="772"/>
      <c r="AM14" s="772"/>
      <c r="AN14" s="772"/>
      <c r="AO14" s="772"/>
      <c r="AP14" s="772"/>
      <c r="AQ14" s="772"/>
      <c r="AR14" s="772"/>
      <c r="AS14" s="772"/>
      <c r="AT14" s="772"/>
      <c r="AU14" s="772"/>
      <c r="AV14" s="772"/>
      <c r="AW14" s="772"/>
      <c r="AX14" s="772"/>
      <c r="AY14" s="772"/>
    </row>
    <row r="15" spans="1:51" ht="14.25" x14ac:dyDescent="0.2">
      <c r="A15" s="778">
        <v>2014</v>
      </c>
      <c r="B15" s="779"/>
      <c r="C15" s="780">
        <v>2.8899999999999999E-2</v>
      </c>
      <c r="D15" s="772"/>
      <c r="E15" s="772"/>
      <c r="F15" s="772"/>
      <c r="G15" s="772"/>
      <c r="H15" s="772"/>
      <c r="I15" s="772"/>
      <c r="J15" s="772"/>
      <c r="K15" s="772"/>
      <c r="L15" s="772"/>
      <c r="M15" s="772"/>
      <c r="N15" s="772"/>
      <c r="O15" s="772"/>
      <c r="P15" s="772"/>
      <c r="Q15" s="772"/>
      <c r="R15" s="772"/>
      <c r="S15" s="772"/>
      <c r="T15" s="772"/>
      <c r="U15" s="772"/>
      <c r="V15" s="772"/>
      <c r="W15" s="772"/>
      <c r="X15" s="772"/>
      <c r="Y15" s="772"/>
      <c r="Z15" s="772"/>
      <c r="AA15" s="772"/>
      <c r="AB15" s="772"/>
      <c r="AC15" s="772"/>
      <c r="AD15" s="772"/>
      <c r="AE15" s="772"/>
      <c r="AF15" s="772"/>
      <c r="AG15" s="772"/>
      <c r="AH15" s="772"/>
      <c r="AI15" s="772"/>
      <c r="AJ15" s="772"/>
      <c r="AK15" s="772"/>
      <c r="AL15" s="772"/>
      <c r="AM15" s="772"/>
      <c r="AN15" s="772"/>
      <c r="AO15" s="772"/>
      <c r="AP15" s="772"/>
      <c r="AQ15" s="772"/>
      <c r="AR15" s="772"/>
      <c r="AS15" s="772"/>
      <c r="AT15" s="772"/>
      <c r="AU15" s="772"/>
      <c r="AV15" s="772"/>
      <c r="AW15" s="772"/>
      <c r="AX15" s="772"/>
      <c r="AY15" s="772"/>
    </row>
    <row r="16" spans="1:51" ht="14.25" x14ac:dyDescent="0.2">
      <c r="A16" s="778">
        <v>2015</v>
      </c>
      <c r="B16" s="779"/>
      <c r="C16" s="780">
        <v>5.21E-2</v>
      </c>
      <c r="D16" s="772"/>
      <c r="E16" s="772"/>
      <c r="F16" s="772"/>
      <c r="G16" s="772"/>
      <c r="H16" s="772"/>
      <c r="I16" s="772"/>
      <c r="J16" s="772"/>
      <c r="K16" s="772"/>
      <c r="L16" s="772"/>
      <c r="M16" s="772"/>
      <c r="N16" s="772"/>
      <c r="O16" s="772"/>
      <c r="P16" s="772"/>
      <c r="Q16" s="772"/>
      <c r="R16" s="772"/>
      <c r="S16" s="772"/>
      <c r="T16" s="772"/>
      <c r="U16" s="772"/>
      <c r="V16" s="772"/>
      <c r="W16" s="772"/>
      <c r="X16" s="772"/>
      <c r="Y16" s="772"/>
      <c r="Z16" s="772"/>
      <c r="AA16" s="772"/>
      <c r="AB16" s="772"/>
      <c r="AC16" s="772"/>
      <c r="AD16" s="772"/>
      <c r="AE16" s="772"/>
      <c r="AF16" s="772"/>
      <c r="AG16" s="772"/>
      <c r="AH16" s="772"/>
      <c r="AI16" s="772"/>
      <c r="AJ16" s="772"/>
      <c r="AK16" s="772"/>
      <c r="AL16" s="772"/>
      <c r="AM16" s="772"/>
      <c r="AN16" s="772"/>
      <c r="AO16" s="772"/>
      <c r="AP16" s="772"/>
      <c r="AQ16" s="772"/>
      <c r="AR16" s="772"/>
      <c r="AS16" s="772"/>
      <c r="AT16" s="772"/>
      <c r="AU16" s="772"/>
      <c r="AV16" s="772"/>
      <c r="AW16" s="772"/>
      <c r="AX16" s="772"/>
      <c r="AY16" s="772"/>
    </row>
    <row r="17" spans="1:51" ht="14.25" x14ac:dyDescent="0.2">
      <c r="A17" s="778">
        <v>2016</v>
      </c>
      <c r="B17" s="779"/>
      <c r="C17" s="780">
        <v>7.0800000000000002E-2</v>
      </c>
      <c r="D17" s="772"/>
      <c r="E17" s="772"/>
      <c r="F17" s="772"/>
      <c r="G17" s="772"/>
      <c r="H17" s="772"/>
      <c r="I17" s="772"/>
      <c r="J17" s="772"/>
      <c r="K17" s="772"/>
      <c r="L17" s="772"/>
      <c r="M17" s="772"/>
      <c r="N17" s="772"/>
      <c r="O17" s="772"/>
      <c r="P17" s="772"/>
      <c r="Q17" s="772"/>
      <c r="R17" s="772"/>
      <c r="S17" s="772"/>
      <c r="T17" s="772"/>
      <c r="U17" s="772"/>
      <c r="V17" s="772"/>
      <c r="W17" s="772"/>
      <c r="X17" s="772"/>
      <c r="Y17" s="772"/>
      <c r="Z17" s="772"/>
      <c r="AA17" s="772"/>
      <c r="AB17" s="772"/>
      <c r="AC17" s="772"/>
      <c r="AD17" s="772"/>
      <c r="AE17" s="772"/>
      <c r="AF17" s="772"/>
      <c r="AG17" s="772"/>
      <c r="AH17" s="772"/>
      <c r="AI17" s="772"/>
      <c r="AJ17" s="772"/>
      <c r="AK17" s="772"/>
      <c r="AL17" s="772"/>
      <c r="AM17" s="772"/>
      <c r="AN17" s="772"/>
      <c r="AO17" s="772"/>
      <c r="AP17" s="772"/>
      <c r="AQ17" s="772"/>
      <c r="AR17" s="772"/>
      <c r="AS17" s="772"/>
      <c r="AT17" s="772"/>
      <c r="AU17" s="772"/>
      <c r="AV17" s="772"/>
      <c r="AW17" s="772"/>
      <c r="AX17" s="772"/>
      <c r="AY17" s="772"/>
    </row>
    <row r="18" spans="1:51" ht="14.25" x14ac:dyDescent="0.2">
      <c r="A18" s="781">
        <v>2017</v>
      </c>
      <c r="B18" s="779"/>
      <c r="C18" s="782"/>
      <c r="D18" s="772"/>
      <c r="E18" s="772"/>
      <c r="F18" s="772"/>
      <c r="G18" s="772"/>
      <c r="H18" s="772"/>
      <c r="I18" s="772"/>
      <c r="J18" s="772"/>
      <c r="K18" s="772"/>
      <c r="L18" s="772"/>
      <c r="M18" s="772"/>
      <c r="N18" s="772"/>
      <c r="O18" s="772"/>
      <c r="P18" s="772"/>
      <c r="Q18" s="772"/>
      <c r="R18" s="772"/>
      <c r="S18" s="772"/>
      <c r="T18" s="772"/>
      <c r="U18" s="772"/>
      <c r="V18" s="772"/>
      <c r="W18" s="772"/>
      <c r="X18" s="772"/>
      <c r="Y18" s="772"/>
      <c r="Z18" s="772"/>
      <c r="AA18" s="772"/>
      <c r="AB18" s="772"/>
      <c r="AC18" s="772"/>
      <c r="AD18" s="772"/>
      <c r="AE18" s="772"/>
      <c r="AF18" s="772"/>
      <c r="AG18" s="772"/>
      <c r="AH18" s="772"/>
      <c r="AI18" s="772"/>
      <c r="AJ18" s="772"/>
      <c r="AK18" s="772"/>
      <c r="AL18" s="772"/>
      <c r="AM18" s="772"/>
      <c r="AN18" s="772"/>
      <c r="AO18" s="772"/>
      <c r="AP18" s="772"/>
      <c r="AQ18" s="772"/>
      <c r="AR18" s="772"/>
      <c r="AS18" s="772"/>
      <c r="AT18" s="772"/>
      <c r="AU18" s="772"/>
      <c r="AV18" s="772"/>
      <c r="AW18" s="772"/>
      <c r="AX18" s="772"/>
      <c r="AY18" s="772"/>
    </row>
    <row r="19" spans="1:51" ht="14.25" x14ac:dyDescent="0.2">
      <c r="A19" s="778">
        <v>2018</v>
      </c>
      <c r="B19" s="779"/>
      <c r="C19" s="782"/>
      <c r="D19" s="772"/>
      <c r="E19" s="772"/>
      <c r="F19" s="772"/>
      <c r="G19" s="772"/>
      <c r="H19" s="772"/>
      <c r="I19" s="772"/>
      <c r="J19" s="772"/>
      <c r="K19" s="772"/>
      <c r="L19" s="772"/>
      <c r="M19" s="772"/>
      <c r="N19" s="772"/>
      <c r="O19" s="772"/>
      <c r="P19" s="772"/>
      <c r="Q19" s="772"/>
      <c r="R19" s="772"/>
      <c r="S19" s="772"/>
      <c r="T19" s="772"/>
      <c r="U19" s="772"/>
      <c r="V19" s="772"/>
      <c r="W19" s="772"/>
      <c r="X19" s="772"/>
      <c r="Y19" s="772"/>
      <c r="Z19" s="772"/>
      <c r="AA19" s="772"/>
      <c r="AB19" s="772"/>
      <c r="AC19" s="772"/>
      <c r="AD19" s="772"/>
      <c r="AE19" s="772"/>
      <c r="AF19" s="772"/>
      <c r="AG19" s="772"/>
      <c r="AH19" s="772"/>
      <c r="AI19" s="772"/>
      <c r="AJ19" s="772"/>
      <c r="AK19" s="772"/>
      <c r="AL19" s="772"/>
      <c r="AM19" s="772"/>
      <c r="AN19" s="772"/>
      <c r="AO19" s="772"/>
      <c r="AP19" s="772"/>
      <c r="AQ19" s="772"/>
      <c r="AR19" s="772"/>
      <c r="AS19" s="772"/>
      <c r="AT19" s="772"/>
      <c r="AU19" s="772"/>
      <c r="AV19" s="772"/>
      <c r="AW19" s="772"/>
      <c r="AX19" s="772"/>
      <c r="AY19" s="772"/>
    </row>
    <row r="20" spans="1:51" ht="14.25" x14ac:dyDescent="0.2">
      <c r="A20" s="781">
        <v>2019</v>
      </c>
      <c r="B20" s="779"/>
      <c r="C20" s="782"/>
      <c r="D20" s="772"/>
      <c r="E20" s="772"/>
      <c r="F20" s="772"/>
      <c r="G20" s="772"/>
      <c r="H20" s="772"/>
      <c r="I20" s="772"/>
      <c r="J20" s="772"/>
      <c r="K20" s="772"/>
      <c r="L20" s="772"/>
      <c r="M20" s="772"/>
      <c r="N20" s="772"/>
      <c r="O20" s="772"/>
      <c r="P20" s="772"/>
      <c r="Q20" s="772"/>
      <c r="R20" s="772"/>
      <c r="S20" s="772"/>
      <c r="T20" s="772"/>
      <c r="U20" s="772"/>
      <c r="V20" s="772"/>
      <c r="W20" s="772"/>
      <c r="X20" s="772"/>
      <c r="Y20" s="772"/>
      <c r="Z20" s="772"/>
      <c r="AA20" s="772"/>
      <c r="AB20" s="772"/>
      <c r="AC20" s="772"/>
      <c r="AD20" s="772"/>
      <c r="AE20" s="772"/>
      <c r="AF20" s="772"/>
      <c r="AG20" s="772"/>
      <c r="AH20" s="772"/>
      <c r="AI20" s="772"/>
      <c r="AJ20" s="772"/>
      <c r="AK20" s="772"/>
      <c r="AL20" s="772"/>
      <c r="AM20" s="772"/>
      <c r="AN20" s="772"/>
      <c r="AO20" s="772"/>
      <c r="AP20" s="772"/>
      <c r="AQ20" s="772"/>
      <c r="AR20" s="772"/>
      <c r="AS20" s="772"/>
      <c r="AT20" s="772"/>
      <c r="AU20" s="772"/>
      <c r="AV20" s="772"/>
      <c r="AW20" s="772"/>
      <c r="AX20" s="772"/>
      <c r="AY20" s="772"/>
    </row>
    <row r="21" spans="1:51" ht="14.25" x14ac:dyDescent="0.2">
      <c r="A21" s="783" t="s">
        <v>1317</v>
      </c>
      <c r="B21" s="784">
        <f>SUM(B8:B20)</f>
        <v>0</v>
      </c>
      <c r="C21" s="785"/>
      <c r="D21" s="772"/>
      <c r="E21" s="772"/>
      <c r="F21" s="772"/>
      <c r="G21" s="772"/>
      <c r="H21" s="772"/>
      <c r="I21" s="772"/>
      <c r="J21" s="772"/>
      <c r="K21" s="772"/>
      <c r="L21" s="772"/>
      <c r="M21" s="772"/>
      <c r="N21" s="772"/>
      <c r="O21" s="772"/>
      <c r="P21" s="772"/>
      <c r="Q21" s="772"/>
      <c r="R21" s="772"/>
      <c r="S21" s="772"/>
      <c r="T21" s="772"/>
      <c r="U21" s="772"/>
      <c r="V21" s="772"/>
      <c r="W21" s="772"/>
      <c r="X21" s="772"/>
      <c r="Y21" s="772"/>
      <c r="Z21" s="772"/>
      <c r="AA21" s="772"/>
      <c r="AB21" s="772"/>
      <c r="AC21" s="772"/>
      <c r="AD21" s="772"/>
      <c r="AE21" s="772"/>
      <c r="AF21" s="772"/>
      <c r="AG21" s="772"/>
      <c r="AH21" s="772"/>
      <c r="AI21" s="772"/>
      <c r="AJ21" s="772"/>
      <c r="AK21" s="772"/>
      <c r="AL21" s="772"/>
      <c r="AM21" s="772"/>
      <c r="AN21" s="772"/>
      <c r="AO21" s="772"/>
      <c r="AP21" s="772"/>
      <c r="AQ21" s="772"/>
      <c r="AR21" s="772"/>
      <c r="AS21" s="772"/>
      <c r="AT21" s="772"/>
      <c r="AU21" s="772"/>
      <c r="AV21" s="772"/>
      <c r="AW21" s="772"/>
      <c r="AX21" s="772"/>
      <c r="AY21" s="772"/>
    </row>
    <row r="22" spans="1:51" x14ac:dyDescent="0.2">
      <c r="L22" s="786"/>
      <c r="M22" s="786"/>
      <c r="N22" s="786"/>
      <c r="O22" s="786"/>
      <c r="P22" s="786"/>
      <c r="Q22" s="786"/>
      <c r="R22" s="786"/>
      <c r="S22" s="786"/>
      <c r="T22" s="786"/>
      <c r="U22" s="786"/>
      <c r="V22" s="786"/>
      <c r="W22" s="786"/>
      <c r="X22" s="786"/>
      <c r="Y22" s="786"/>
      <c r="Z22" s="786"/>
      <c r="AA22" s="786"/>
      <c r="AB22" s="786"/>
      <c r="AC22" s="786"/>
      <c r="AD22" s="786"/>
      <c r="AE22" s="786"/>
      <c r="AF22" s="786"/>
      <c r="AG22" s="787"/>
    </row>
    <row r="23" spans="1:51" ht="14.25" x14ac:dyDescent="0.2">
      <c r="A23" s="1644" t="s">
        <v>1392</v>
      </c>
      <c r="B23" s="1644"/>
      <c r="C23" s="1644"/>
      <c r="D23" s="1644"/>
      <c r="E23" s="1644"/>
      <c r="F23" s="1644"/>
      <c r="G23" s="1644"/>
      <c r="H23" s="1644"/>
      <c r="I23" s="1644"/>
      <c r="L23" s="786"/>
      <c r="M23" s="786"/>
      <c r="N23" s="786"/>
      <c r="O23" s="786"/>
      <c r="P23" s="786"/>
      <c r="Q23" s="786"/>
      <c r="R23" s="786"/>
      <c r="S23" s="786"/>
      <c r="T23" s="786"/>
      <c r="U23" s="786"/>
      <c r="V23" s="786"/>
      <c r="W23" s="786"/>
      <c r="X23" s="786"/>
      <c r="Y23" s="786"/>
      <c r="Z23" s="786"/>
      <c r="AA23" s="786"/>
      <c r="AB23" s="786"/>
      <c r="AC23" s="786"/>
      <c r="AD23" s="786"/>
      <c r="AE23" s="786"/>
      <c r="AF23" s="786"/>
      <c r="AG23" s="786"/>
    </row>
    <row r="25" spans="1:51" x14ac:dyDescent="0.2">
      <c r="A25" s="773" t="s">
        <v>1389</v>
      </c>
      <c r="B25" s="773" t="s">
        <v>1393</v>
      </c>
      <c r="C25" s="773" t="s">
        <v>1391</v>
      </c>
      <c r="D25" s="786"/>
      <c r="E25" s="786"/>
      <c r="F25" s="786"/>
      <c r="G25" s="786"/>
      <c r="H25" s="786"/>
      <c r="I25" s="786"/>
      <c r="J25" s="786"/>
      <c r="K25" s="786"/>
      <c r="L25" s="786"/>
      <c r="M25" s="786"/>
      <c r="N25" s="786"/>
      <c r="O25" s="786"/>
      <c r="P25" s="786"/>
      <c r="Q25" s="786"/>
      <c r="R25" s="786"/>
      <c r="S25" s="786"/>
      <c r="T25" s="786"/>
      <c r="U25" s="786"/>
      <c r="V25" s="786"/>
      <c r="W25" s="786"/>
      <c r="X25" s="786"/>
      <c r="Y25" s="786"/>
      <c r="Z25" s="786"/>
      <c r="AA25" s="786"/>
      <c r="AB25" s="786"/>
      <c r="AC25" s="786"/>
      <c r="AD25" s="786"/>
      <c r="AE25" s="786"/>
      <c r="AF25" s="786"/>
      <c r="AG25" s="786"/>
      <c r="AH25" s="786"/>
      <c r="AI25" s="786"/>
      <c r="AJ25" s="786"/>
      <c r="AK25" s="786"/>
      <c r="AL25" s="786"/>
      <c r="AM25" s="786"/>
      <c r="AN25" s="786"/>
      <c r="AO25" s="786"/>
      <c r="AP25" s="786"/>
      <c r="AQ25" s="786"/>
      <c r="AR25" s="786"/>
      <c r="AS25" s="786"/>
      <c r="AT25" s="786"/>
      <c r="AU25" s="786"/>
      <c r="AV25" s="786"/>
      <c r="AW25" s="786"/>
    </row>
    <row r="26" spans="1:51" x14ac:dyDescent="0.2">
      <c r="A26" s="788">
        <v>2013</v>
      </c>
      <c r="B26" s="789"/>
      <c r="C26" s="790">
        <v>2.4E-2</v>
      </c>
      <c r="D26" s="786"/>
      <c r="E26" s="786"/>
      <c r="F26" s="786"/>
      <c r="G26" s="786"/>
      <c r="H26" s="786"/>
      <c r="I26" s="786"/>
      <c r="J26" s="786"/>
      <c r="K26" s="786"/>
      <c r="L26" s="786"/>
      <c r="M26" s="786"/>
      <c r="N26" s="786"/>
      <c r="O26" s="786"/>
      <c r="P26" s="786"/>
      <c r="Q26" s="786"/>
      <c r="R26" s="786"/>
      <c r="S26" s="786"/>
      <c r="T26" s="786"/>
      <c r="U26" s="786"/>
      <c r="V26" s="786"/>
      <c r="W26" s="786"/>
      <c r="X26" s="786"/>
      <c r="Y26" s="786"/>
      <c r="Z26" s="786"/>
      <c r="AA26" s="786"/>
      <c r="AB26" s="786"/>
      <c r="AC26" s="786"/>
      <c r="AD26" s="786"/>
      <c r="AE26" s="786"/>
      <c r="AF26" s="786"/>
      <c r="AG26" s="786"/>
      <c r="AH26" s="786"/>
      <c r="AI26" s="786"/>
      <c r="AJ26" s="786"/>
      <c r="AK26" s="786"/>
      <c r="AL26" s="786"/>
      <c r="AM26" s="786"/>
      <c r="AN26" s="786"/>
      <c r="AO26" s="786"/>
      <c r="AP26" s="786"/>
      <c r="AQ26" s="786"/>
      <c r="AR26" s="786"/>
      <c r="AS26" s="786"/>
      <c r="AT26" s="786"/>
      <c r="AU26" s="786"/>
      <c r="AV26" s="786"/>
      <c r="AW26" s="786"/>
    </row>
    <row r="27" spans="1:51" x14ac:dyDescent="0.2">
      <c r="A27" s="778">
        <v>2014</v>
      </c>
      <c r="B27" s="779"/>
      <c r="C27" s="791">
        <v>2.8899999999999999E-2</v>
      </c>
      <c r="D27" s="786"/>
      <c r="E27" s="786"/>
      <c r="F27" s="786"/>
      <c r="G27" s="786"/>
      <c r="H27" s="786"/>
      <c r="I27" s="786"/>
      <c r="J27" s="786"/>
      <c r="K27" s="786"/>
      <c r="L27" s="786"/>
      <c r="M27" s="786"/>
      <c r="N27" s="786"/>
      <c r="O27" s="786"/>
      <c r="P27" s="786"/>
      <c r="Q27" s="786"/>
      <c r="R27" s="786"/>
      <c r="S27" s="786"/>
      <c r="T27" s="786"/>
      <c r="U27" s="786"/>
      <c r="V27" s="786"/>
      <c r="W27" s="786"/>
      <c r="X27" s="786"/>
      <c r="Y27" s="786"/>
      <c r="Z27" s="786"/>
      <c r="AA27" s="786"/>
      <c r="AB27" s="786"/>
      <c r="AC27" s="786"/>
      <c r="AD27" s="786"/>
      <c r="AE27" s="786"/>
      <c r="AF27" s="786"/>
      <c r="AG27" s="786"/>
      <c r="AH27" s="786"/>
      <c r="AI27" s="786"/>
      <c r="AJ27" s="786"/>
      <c r="AK27" s="786"/>
      <c r="AL27" s="786"/>
      <c r="AM27" s="786"/>
      <c r="AN27" s="786"/>
      <c r="AO27" s="786"/>
      <c r="AP27" s="786"/>
      <c r="AQ27" s="786"/>
      <c r="AR27" s="786"/>
      <c r="AS27" s="786"/>
      <c r="AT27" s="786"/>
      <c r="AU27" s="786"/>
      <c r="AV27" s="786"/>
      <c r="AW27" s="786"/>
    </row>
    <row r="28" spans="1:51" x14ac:dyDescent="0.2">
      <c r="A28" s="778">
        <v>2015</v>
      </c>
      <c r="B28" s="779"/>
      <c r="C28" s="791">
        <v>5.21E-2</v>
      </c>
      <c r="D28" s="786"/>
      <c r="E28" s="786"/>
      <c r="F28" s="786"/>
      <c r="G28" s="786"/>
      <c r="H28" s="786"/>
      <c r="I28" s="786"/>
      <c r="J28" s="786"/>
      <c r="K28" s="786"/>
      <c r="L28" s="786"/>
      <c r="M28" s="786"/>
      <c r="N28" s="786"/>
      <c r="O28" s="786"/>
      <c r="P28" s="786"/>
      <c r="Q28" s="786"/>
      <c r="R28" s="786"/>
      <c r="S28" s="786"/>
      <c r="T28" s="786"/>
      <c r="U28" s="786"/>
      <c r="V28" s="786"/>
      <c r="W28" s="786"/>
      <c r="X28" s="786"/>
      <c r="Y28" s="786"/>
      <c r="Z28" s="786"/>
      <c r="AA28" s="786"/>
      <c r="AB28" s="786"/>
      <c r="AC28" s="786"/>
      <c r="AD28" s="786"/>
      <c r="AE28" s="786"/>
      <c r="AF28" s="786"/>
      <c r="AG28" s="786"/>
      <c r="AH28" s="786"/>
      <c r="AI28" s="786"/>
      <c r="AJ28" s="786"/>
      <c r="AK28" s="786"/>
      <c r="AL28" s="786"/>
      <c r="AM28" s="786"/>
      <c r="AN28" s="786"/>
      <c r="AO28" s="786"/>
      <c r="AP28" s="786"/>
      <c r="AQ28" s="786"/>
      <c r="AR28" s="786"/>
      <c r="AS28" s="786"/>
      <c r="AT28" s="786"/>
      <c r="AU28" s="786"/>
      <c r="AV28" s="786"/>
      <c r="AW28" s="786"/>
    </row>
    <row r="29" spans="1:51" x14ac:dyDescent="0.2">
      <c r="A29" s="792">
        <v>2016</v>
      </c>
      <c r="B29" s="793"/>
      <c r="C29" s="794">
        <v>7.0800000000000002E-2</v>
      </c>
      <c r="D29" s="786"/>
      <c r="E29" s="786"/>
      <c r="F29" s="786"/>
      <c r="G29" s="786"/>
      <c r="H29" s="786"/>
      <c r="I29" s="786"/>
      <c r="J29" s="786"/>
      <c r="K29" s="786"/>
      <c r="L29" s="786"/>
      <c r="M29" s="786"/>
      <c r="N29" s="786"/>
      <c r="O29" s="786"/>
      <c r="P29" s="786"/>
      <c r="Q29" s="786"/>
      <c r="R29" s="786"/>
      <c r="S29" s="786"/>
      <c r="T29" s="786"/>
      <c r="U29" s="786"/>
      <c r="V29" s="786"/>
      <c r="W29" s="786"/>
      <c r="X29" s="786"/>
      <c r="Y29" s="786"/>
      <c r="Z29" s="786"/>
      <c r="AA29" s="786"/>
      <c r="AB29" s="786"/>
      <c r="AC29" s="786"/>
      <c r="AD29" s="786"/>
      <c r="AE29" s="786"/>
      <c r="AF29" s="786"/>
      <c r="AG29" s="786"/>
      <c r="AH29" s="786"/>
      <c r="AI29" s="786"/>
      <c r="AJ29" s="786"/>
      <c r="AK29" s="786"/>
      <c r="AL29" s="786"/>
      <c r="AM29" s="786"/>
      <c r="AN29" s="786"/>
      <c r="AO29" s="786"/>
      <c r="AP29" s="786"/>
      <c r="AQ29" s="786"/>
      <c r="AR29" s="786"/>
      <c r="AS29" s="786"/>
      <c r="AT29" s="786"/>
      <c r="AU29" s="786"/>
      <c r="AV29" s="786"/>
      <c r="AW29" s="786"/>
    </row>
    <row r="30" spans="1:51" x14ac:dyDescent="0.2">
      <c r="A30" s="783" t="s">
        <v>1317</v>
      </c>
      <c r="B30" s="784">
        <f>SUM(B26:B29)</f>
        <v>0</v>
      </c>
      <c r="C30" s="785"/>
      <c r="D30" s="786"/>
      <c r="E30" s="786"/>
      <c r="F30" s="786"/>
      <c r="G30" s="786"/>
      <c r="H30" s="786"/>
      <c r="I30" s="786"/>
      <c r="J30" s="786"/>
      <c r="K30" s="786"/>
      <c r="L30" s="786"/>
      <c r="M30" s="786"/>
      <c r="N30" s="786"/>
      <c r="O30" s="786"/>
      <c r="P30" s="786"/>
      <c r="Q30" s="786"/>
      <c r="R30" s="786"/>
      <c r="S30" s="786"/>
      <c r="T30" s="786"/>
      <c r="U30" s="786"/>
      <c r="V30" s="786"/>
      <c r="W30" s="786"/>
      <c r="X30" s="786"/>
      <c r="Y30" s="786"/>
      <c r="Z30" s="786"/>
      <c r="AA30" s="786"/>
      <c r="AB30" s="786"/>
      <c r="AC30" s="786"/>
      <c r="AD30" s="786"/>
      <c r="AE30" s="786"/>
      <c r="AF30" s="786"/>
      <c r="AG30" s="786"/>
      <c r="AH30" s="786"/>
      <c r="AI30" s="786"/>
      <c r="AJ30" s="786"/>
      <c r="AK30" s="786"/>
      <c r="AL30" s="786"/>
      <c r="AM30" s="786"/>
      <c r="AN30" s="786"/>
      <c r="AO30" s="786"/>
      <c r="AP30" s="786"/>
      <c r="AQ30" s="786"/>
      <c r="AR30" s="786"/>
      <c r="AS30" s="786"/>
      <c r="AT30" s="786"/>
      <c r="AU30" s="786"/>
      <c r="AV30" s="786"/>
      <c r="AW30" s="786"/>
    </row>
    <row r="31" spans="1:51" x14ac:dyDescent="0.2">
      <c r="A31" s="786"/>
      <c r="B31" s="786"/>
      <c r="C31" s="786"/>
      <c r="D31" s="786"/>
      <c r="E31" s="786"/>
      <c r="F31" s="786"/>
      <c r="G31" s="786"/>
      <c r="H31" s="786"/>
      <c r="I31" s="786"/>
      <c r="J31" s="786"/>
      <c r="K31" s="786"/>
      <c r="L31" s="786"/>
      <c r="M31" s="786"/>
      <c r="N31" s="786"/>
      <c r="O31" s="786"/>
      <c r="P31" s="786"/>
      <c r="Q31" s="786"/>
      <c r="R31" s="786"/>
      <c r="S31" s="786"/>
      <c r="T31" s="786"/>
      <c r="U31" s="786"/>
      <c r="V31" s="786"/>
      <c r="W31" s="786"/>
      <c r="X31" s="786"/>
      <c r="Y31" s="786"/>
      <c r="Z31" s="786"/>
      <c r="AA31" s="786"/>
      <c r="AB31" s="786"/>
      <c r="AC31" s="786"/>
      <c r="AD31" s="786"/>
      <c r="AE31" s="786"/>
      <c r="AF31" s="786"/>
      <c r="AG31" s="786"/>
    </row>
    <row r="32" spans="1:51" x14ac:dyDescent="0.2">
      <c r="A32" s="786"/>
      <c r="B32" s="786"/>
      <c r="C32" s="786"/>
      <c r="D32" s="786"/>
      <c r="E32" s="786"/>
      <c r="F32" s="786"/>
      <c r="G32" s="786"/>
      <c r="H32" s="786"/>
      <c r="I32" s="786"/>
      <c r="J32" s="786"/>
      <c r="K32" s="786"/>
      <c r="L32" s="786"/>
      <c r="M32" s="786"/>
      <c r="N32" s="786"/>
      <c r="O32" s="786"/>
      <c r="P32" s="786"/>
      <c r="Q32" s="786"/>
      <c r="R32" s="786"/>
      <c r="S32" s="786"/>
      <c r="T32" s="786"/>
      <c r="U32" s="786"/>
      <c r="V32" s="786"/>
      <c r="W32" s="786"/>
      <c r="X32" s="786"/>
      <c r="Y32" s="786"/>
      <c r="Z32" s="786"/>
      <c r="AA32" s="786"/>
      <c r="AB32" s="786"/>
      <c r="AC32" s="786"/>
      <c r="AD32" s="786"/>
      <c r="AE32" s="786"/>
      <c r="AF32" s="786"/>
      <c r="AG32" s="786"/>
    </row>
    <row r="33" spans="1:33" ht="14.25" x14ac:dyDescent="0.2">
      <c r="A33" s="797"/>
      <c r="B33" s="797"/>
      <c r="C33" s="797"/>
      <c r="D33" s="797"/>
      <c r="E33" s="797"/>
      <c r="F33" s="797"/>
      <c r="G33" s="797"/>
      <c r="H33" s="797"/>
      <c r="I33" s="797"/>
      <c r="J33" s="797"/>
      <c r="K33" s="797"/>
      <c r="L33" s="797"/>
      <c r="M33" s="797"/>
      <c r="N33" s="797"/>
      <c r="O33" s="797"/>
      <c r="P33" s="797"/>
      <c r="Q33" s="797"/>
      <c r="R33" s="797"/>
      <c r="S33" s="797"/>
      <c r="T33" s="797"/>
      <c r="U33" s="797"/>
      <c r="V33" s="716"/>
      <c r="W33" s="716"/>
      <c r="X33" s="796"/>
      <c r="Y33" s="716"/>
      <c r="Z33" s="716"/>
      <c r="AA33" s="716"/>
      <c r="AB33" s="716"/>
      <c r="AC33" s="716"/>
      <c r="AD33" s="716"/>
      <c r="AE33" s="716"/>
      <c r="AF33" s="716"/>
      <c r="AG33" s="716"/>
    </row>
    <row r="34" spans="1:33" s="671" customFormat="1" ht="14.25" x14ac:dyDescent="0.2">
      <c r="A34" s="799"/>
      <c r="B34" s="799"/>
      <c r="C34" s="799"/>
      <c r="D34" s="799"/>
      <c r="E34" s="799"/>
      <c r="F34" s="799"/>
      <c r="G34" s="799"/>
      <c r="H34" s="799"/>
      <c r="I34" s="799"/>
      <c r="J34" s="799"/>
      <c r="K34" s="799"/>
      <c r="L34" s="798"/>
      <c r="M34" s="798"/>
      <c r="N34" s="798"/>
      <c r="O34" s="798"/>
      <c r="P34" s="798"/>
      <c r="Q34" s="798"/>
      <c r="R34" s="798"/>
      <c r="S34" s="798"/>
      <c r="T34" s="798"/>
      <c r="U34" s="798"/>
      <c r="V34" s="798"/>
      <c r="W34" s="798"/>
      <c r="X34" s="798"/>
      <c r="Y34" s="798"/>
      <c r="Z34" s="798"/>
      <c r="AA34" s="798"/>
      <c r="AB34" s="798"/>
      <c r="AC34" s="798"/>
      <c r="AD34" s="798"/>
      <c r="AE34" s="798"/>
      <c r="AF34" s="798"/>
      <c r="AG34" s="798"/>
    </row>
    <row r="35" spans="1:33" s="671" customFormat="1" ht="14.25" x14ac:dyDescent="0.2">
      <c r="A35" s="799"/>
      <c r="B35" s="799"/>
      <c r="C35" s="799"/>
      <c r="D35" s="799"/>
      <c r="E35" s="799"/>
      <c r="F35" s="799"/>
      <c r="G35" s="799"/>
      <c r="H35" s="799"/>
      <c r="I35" s="799"/>
      <c r="J35" s="799"/>
      <c r="K35" s="799"/>
      <c r="L35" s="798"/>
      <c r="M35" s="798"/>
      <c r="N35" s="798"/>
      <c r="O35" s="798"/>
      <c r="P35" s="798"/>
      <c r="Q35" s="798"/>
      <c r="R35" s="825" t="s">
        <v>1394</v>
      </c>
      <c r="S35" s="798"/>
      <c r="T35" s="798"/>
      <c r="U35" s="798"/>
      <c r="V35" s="798"/>
      <c r="W35" s="798"/>
      <c r="X35" s="798"/>
      <c r="Y35" s="798"/>
      <c r="Z35" s="798"/>
      <c r="AA35" s="798"/>
      <c r="AB35" s="798"/>
      <c r="AC35" s="798"/>
      <c r="AD35" s="798"/>
      <c r="AE35" s="798"/>
      <c r="AF35" s="798"/>
      <c r="AG35" s="798"/>
    </row>
    <row r="36" spans="1:33" ht="14.25" x14ac:dyDescent="0.2">
      <c r="A36" s="723"/>
      <c r="B36" s="723"/>
      <c r="C36" s="723"/>
      <c r="D36" s="723"/>
      <c r="E36" s="723"/>
      <c r="F36" s="723"/>
      <c r="G36" s="723"/>
      <c r="H36" s="723"/>
      <c r="I36" s="723"/>
      <c r="J36" s="723"/>
      <c r="K36" s="723"/>
      <c r="L36" s="714"/>
      <c r="M36" s="714"/>
      <c r="N36" s="714"/>
      <c r="O36" s="715"/>
      <c r="P36" s="715"/>
      <c r="Q36" s="714"/>
      <c r="R36" s="800" t="s">
        <v>1395</v>
      </c>
      <c r="S36" s="800"/>
      <c r="T36" s="800"/>
      <c r="U36" s="800"/>
      <c r="V36" s="800"/>
      <c r="W36" s="800"/>
      <c r="X36" s="800" t="s">
        <v>1396</v>
      </c>
      <c r="Y36" s="801"/>
      <c r="Z36" s="801"/>
      <c r="AA36" s="801" t="s">
        <v>1397</v>
      </c>
      <c r="AB36" s="714"/>
      <c r="AC36" s="714"/>
      <c r="AD36" s="714"/>
      <c r="AE36" s="714"/>
      <c r="AF36" s="714"/>
      <c r="AG36" s="714"/>
    </row>
    <row r="37" spans="1:33" ht="14.25" x14ac:dyDescent="0.2">
      <c r="A37" s="723"/>
      <c r="B37" s="723"/>
      <c r="C37" s="723"/>
      <c r="D37" s="723"/>
      <c r="E37" s="723"/>
      <c r="F37" s="723"/>
      <c r="G37" s="723"/>
      <c r="H37" s="723"/>
      <c r="I37" s="723"/>
      <c r="J37" s="723"/>
      <c r="K37" s="723"/>
      <c r="L37" s="714"/>
      <c r="M37" s="714"/>
      <c r="N37" s="714"/>
      <c r="O37" s="715"/>
      <c r="P37" s="715"/>
      <c r="Q37" s="714"/>
      <c r="R37" s="802" t="s">
        <v>1398</v>
      </c>
      <c r="S37" s="803"/>
      <c r="T37" s="803"/>
      <c r="U37" s="804"/>
      <c r="V37" s="724"/>
      <c r="W37" s="724"/>
      <c r="X37" s="805" t="e">
        <f>IF(#REF!&gt;#REF!,#REF!,#REF!)</f>
        <v>#REF!</v>
      </c>
      <c r="Y37" s="806"/>
      <c r="Z37" s="806"/>
      <c r="AA37" s="805" t="e">
        <f>IF(X37&lt;X44,X37,X43-AA38)</f>
        <v>#REF!</v>
      </c>
      <c r="AB37" s="714"/>
      <c r="AC37" s="714"/>
      <c r="AD37" s="714"/>
      <c r="AE37" s="714"/>
      <c r="AF37" s="714"/>
      <c r="AG37" s="714"/>
    </row>
    <row r="38" spans="1:33" ht="14.25" x14ac:dyDescent="0.2">
      <c r="A38" s="723"/>
      <c r="B38" s="723"/>
      <c r="C38" s="723"/>
      <c r="D38" s="723"/>
      <c r="E38" s="723"/>
      <c r="F38" s="723"/>
      <c r="G38" s="723"/>
      <c r="H38" s="723"/>
      <c r="I38" s="723"/>
      <c r="J38" s="723"/>
      <c r="K38" s="723"/>
      <c r="L38" s="714"/>
      <c r="M38" s="714"/>
      <c r="N38" s="714"/>
      <c r="O38" s="715"/>
      <c r="P38" s="715"/>
      <c r="Q38" s="714"/>
      <c r="R38" s="807" t="s">
        <v>1399</v>
      </c>
      <c r="S38" s="808"/>
      <c r="T38" s="808"/>
      <c r="U38" s="809"/>
      <c r="V38" s="724"/>
      <c r="W38" s="724"/>
      <c r="X38" s="810"/>
      <c r="Y38" s="806"/>
      <c r="Z38" s="806"/>
      <c r="AA38" s="810">
        <f>IF(X38&lt;X43,X38,X43)</f>
        <v>0</v>
      </c>
      <c r="AB38" s="714"/>
      <c r="AC38" s="714"/>
      <c r="AD38" s="714"/>
      <c r="AE38" s="714"/>
      <c r="AF38" s="714"/>
      <c r="AG38" s="714"/>
    </row>
    <row r="39" spans="1:33" ht="14.25" x14ac:dyDescent="0.2">
      <c r="A39" s="713" t="s">
        <v>1303</v>
      </c>
      <c r="B39" s="713"/>
      <c r="C39" s="630"/>
      <c r="D39" s="630"/>
      <c r="E39" s="712"/>
      <c r="F39" s="723"/>
      <c r="G39" s="723"/>
      <c r="H39" s="723"/>
      <c r="I39" s="723"/>
      <c r="J39" s="712"/>
      <c r="K39" s="712"/>
      <c r="L39" s="712"/>
      <c r="M39" s="712"/>
      <c r="N39" s="712"/>
      <c r="O39" s="765" t="s">
        <v>1385</v>
      </c>
      <c r="P39" s="813"/>
      <c r="Q39" s="766"/>
      <c r="R39" s="814"/>
      <c r="S39" s="814"/>
      <c r="T39" s="814"/>
      <c r="U39" s="712"/>
      <c r="V39" s="712"/>
      <c r="W39" s="712"/>
      <c r="X39" s="712"/>
      <c r="Y39" s="712"/>
      <c r="Z39" s="812">
        <f>+Z37+Z38</f>
        <v>0</v>
      </c>
      <c r="AA39" s="811" t="e">
        <f>+AA37+AA38</f>
        <v>#REF!</v>
      </c>
      <c r="AB39" s="714"/>
      <c r="AC39" s="714"/>
      <c r="AD39" s="714"/>
      <c r="AE39" s="714"/>
      <c r="AF39" s="714"/>
      <c r="AG39" s="714"/>
    </row>
    <row r="40" spans="1:33" ht="14.25" x14ac:dyDescent="0.2">
      <c r="A40" s="723"/>
      <c r="B40" s="723"/>
      <c r="C40" s="714"/>
      <c r="D40" s="714"/>
      <c r="E40" s="714"/>
      <c r="F40" s="715"/>
      <c r="G40" s="715"/>
      <c r="H40" s="714"/>
      <c r="I40" s="714"/>
      <c r="J40" s="714"/>
      <c r="K40" s="714"/>
      <c r="L40" s="815"/>
      <c r="M40" s="714"/>
      <c r="N40" s="714"/>
      <c r="O40" s="714"/>
      <c r="P40" s="714"/>
      <c r="Q40" s="714"/>
      <c r="R40" s="714"/>
      <c r="S40" s="714"/>
      <c r="T40" s="714"/>
      <c r="U40" s="714"/>
      <c r="V40" s="714"/>
      <c r="W40" s="714"/>
      <c r="X40" s="714"/>
      <c r="Y40" s="714"/>
      <c r="Z40" s="714"/>
      <c r="AA40" s="714"/>
      <c r="AB40" s="714"/>
      <c r="AC40" s="714"/>
      <c r="AD40" s="714"/>
      <c r="AE40" s="714"/>
      <c r="AF40" s="714"/>
      <c r="AG40" s="714"/>
    </row>
    <row r="41" spans="1:33" ht="14.25" x14ac:dyDescent="0.2">
      <c r="A41" s="1645" t="s">
        <v>1400</v>
      </c>
      <c r="B41" s="1645"/>
      <c r="C41" s="1645"/>
      <c r="D41" s="1645"/>
      <c r="E41" s="1645"/>
      <c r="F41" s="1645"/>
      <c r="G41" s="715"/>
      <c r="H41" s="715"/>
      <c r="I41" s="715"/>
      <c r="J41" s="715"/>
      <c r="K41" s="715"/>
      <c r="L41" s="715"/>
      <c r="M41" s="715"/>
      <c r="N41" s="715"/>
      <c r="O41" s="715"/>
      <c r="P41" s="715"/>
      <c r="Q41" s="715"/>
      <c r="R41" s="715"/>
      <c r="S41" s="715"/>
      <c r="T41" s="715"/>
      <c r="U41" s="715"/>
      <c r="V41" s="715"/>
      <c r="W41" s="715"/>
      <c r="X41" s="715"/>
      <c r="Y41" s="715"/>
      <c r="Z41" s="715"/>
      <c r="AA41" s="715"/>
      <c r="AB41" s="715"/>
      <c r="AC41" s="715"/>
      <c r="AD41" s="715"/>
      <c r="AE41" s="715"/>
      <c r="AF41" s="715"/>
      <c r="AG41" s="715"/>
    </row>
    <row r="42" spans="1:33" ht="14.25" x14ac:dyDescent="0.2">
      <c r="A42" s="1645" t="s">
        <v>1401</v>
      </c>
      <c r="B42" s="1645"/>
      <c r="C42" s="1645"/>
      <c r="D42" s="715"/>
      <c r="E42" s="715"/>
      <c r="F42" s="715"/>
      <c r="G42" s="715"/>
      <c r="H42" s="715"/>
      <c r="I42" s="715"/>
      <c r="J42" s="715"/>
      <c r="K42" s="715"/>
      <c r="L42" s="715"/>
      <c r="M42" s="715"/>
      <c r="N42" s="715"/>
      <c r="O42" s="715"/>
      <c r="P42" s="715"/>
      <c r="Q42" s="715"/>
      <c r="R42" s="715"/>
      <c r="S42" s="715"/>
      <c r="T42" s="715"/>
      <c r="U42" s="715"/>
      <c r="V42" s="715"/>
      <c r="W42" s="715"/>
      <c r="X42" s="715"/>
      <c r="Y42" s="715"/>
      <c r="Z42" s="715"/>
      <c r="AA42" s="715"/>
      <c r="AB42" s="715"/>
      <c r="AC42" s="715"/>
      <c r="AD42" s="715"/>
      <c r="AE42" s="715"/>
      <c r="AF42" s="715"/>
      <c r="AG42" s="715"/>
    </row>
    <row r="43" spans="1:33" ht="14.25" x14ac:dyDescent="0.2">
      <c r="A43" s="1647" t="s">
        <v>1402</v>
      </c>
      <c r="B43" s="1647"/>
      <c r="C43" s="1647"/>
      <c r="D43" s="1647"/>
      <c r="E43" s="1647"/>
      <c r="F43" s="1647"/>
      <c r="G43" s="715"/>
      <c r="H43" s="714"/>
      <c r="I43" s="714"/>
      <c r="J43" s="714"/>
      <c r="K43" s="714"/>
      <c r="L43" s="714"/>
      <c r="M43" s="714"/>
      <c r="N43" s="714"/>
      <c r="O43" s="714"/>
      <c r="P43" s="714"/>
      <c r="Q43" s="714"/>
      <c r="R43" s="714"/>
      <c r="S43" s="714"/>
      <c r="T43" s="714"/>
      <c r="U43" s="714"/>
      <c r="V43" s="714"/>
      <c r="W43" s="714"/>
      <c r="X43" s="714"/>
      <c r="Y43" s="714"/>
      <c r="Z43" s="714"/>
      <c r="AA43" s="714"/>
      <c r="AB43" s="714"/>
      <c r="AC43" s="714"/>
      <c r="AD43" s="714"/>
      <c r="AE43" s="714"/>
      <c r="AF43" s="714"/>
      <c r="AG43" s="714"/>
    </row>
    <row r="44" spans="1:33" ht="14.25" x14ac:dyDescent="0.2">
      <c r="A44" s="770"/>
      <c r="B44" s="772"/>
      <c r="C44" s="816"/>
      <c r="D44" s="715"/>
      <c r="E44" s="715"/>
      <c r="F44" s="715"/>
      <c r="G44" s="715"/>
      <c r="H44" s="714"/>
      <c r="I44" s="714"/>
      <c r="J44" s="714"/>
      <c r="K44" s="714"/>
      <c r="L44" s="714"/>
      <c r="M44" s="714"/>
      <c r="N44" s="714"/>
      <c r="O44" s="714"/>
      <c r="P44" s="714"/>
      <c r="Q44" s="714"/>
      <c r="R44" s="714"/>
      <c r="S44" s="714"/>
      <c r="T44" s="714"/>
      <c r="U44" s="714"/>
      <c r="V44" s="714"/>
      <c r="W44" s="714"/>
      <c r="X44" s="714"/>
      <c r="Y44" s="714"/>
      <c r="Z44" s="714"/>
      <c r="AA44" s="714"/>
      <c r="AB44" s="714"/>
      <c r="AC44" s="714"/>
      <c r="AD44" s="714"/>
      <c r="AE44" s="714"/>
      <c r="AF44" s="714"/>
      <c r="AG44" s="714"/>
    </row>
    <row r="45" spans="1:33" ht="25.5" x14ac:dyDescent="0.2">
      <c r="A45" s="817" t="s">
        <v>1389</v>
      </c>
      <c r="B45" s="817" t="s">
        <v>1403</v>
      </c>
      <c r="C45" s="817" t="s">
        <v>1391</v>
      </c>
      <c r="D45" s="714"/>
      <c r="E45" s="714"/>
      <c r="F45" s="714"/>
      <c r="G45" s="714"/>
      <c r="H45" s="714"/>
      <c r="I45" s="714"/>
      <c r="J45" s="714"/>
      <c r="K45" s="714"/>
      <c r="L45" s="714"/>
      <c r="M45" s="714"/>
      <c r="N45" s="714"/>
      <c r="O45" s="714"/>
      <c r="P45" s="714"/>
      <c r="Q45" s="714"/>
      <c r="R45" s="714"/>
      <c r="S45" s="714"/>
      <c r="T45" s="714"/>
      <c r="U45" s="714"/>
      <c r="V45" s="714"/>
      <c r="W45" s="714"/>
      <c r="X45" s="714"/>
      <c r="Y45" s="714"/>
      <c r="Z45" s="714"/>
      <c r="AA45" s="714"/>
      <c r="AB45" s="714"/>
      <c r="AC45" s="714"/>
      <c r="AD45" s="714"/>
      <c r="AE45" s="714"/>
      <c r="AF45" s="714"/>
      <c r="AG45" s="714"/>
    </row>
    <row r="46" spans="1:33" ht="14.25" x14ac:dyDescent="0.2">
      <c r="A46" s="778">
        <v>2011</v>
      </c>
      <c r="B46" s="818"/>
      <c r="C46" s="780">
        <v>3.6499999999999998E-2</v>
      </c>
      <c r="D46" s="714"/>
      <c r="E46" s="714"/>
      <c r="F46" s="714"/>
      <c r="G46" s="714"/>
      <c r="H46" s="714"/>
      <c r="I46" s="714"/>
      <c r="J46" s="714"/>
      <c r="K46" s="714"/>
      <c r="L46" s="714"/>
      <c r="M46" s="714"/>
      <c r="N46" s="714"/>
      <c r="O46" s="714"/>
      <c r="P46" s="714"/>
      <c r="Q46" s="714"/>
      <c r="R46" s="714"/>
      <c r="S46" s="714"/>
      <c r="T46" s="714"/>
      <c r="U46" s="714"/>
      <c r="V46" s="714"/>
      <c r="W46" s="714"/>
      <c r="X46" s="714"/>
      <c r="Y46" s="714"/>
      <c r="Z46" s="714"/>
      <c r="AA46" s="714"/>
      <c r="AB46" s="714"/>
      <c r="AC46" s="714"/>
      <c r="AD46" s="714"/>
      <c r="AE46" s="714"/>
      <c r="AF46" s="714"/>
      <c r="AG46" s="714"/>
    </row>
    <row r="47" spans="1:33" ht="14.25" x14ac:dyDescent="0.2">
      <c r="A47" s="778">
        <v>2012</v>
      </c>
      <c r="B47" s="819"/>
      <c r="C47" s="780">
        <v>3.04E-2</v>
      </c>
      <c r="D47" s="714"/>
      <c r="E47" s="714"/>
      <c r="F47" s="714"/>
      <c r="G47" s="714"/>
      <c r="H47" s="714"/>
      <c r="I47" s="714"/>
      <c r="J47" s="714"/>
      <c r="K47" s="714"/>
      <c r="L47" s="714"/>
      <c r="M47" s="714"/>
      <c r="N47" s="714"/>
      <c r="O47" s="714"/>
      <c r="P47" s="714"/>
      <c r="Q47" s="714"/>
      <c r="R47" s="714"/>
      <c r="S47" s="714"/>
      <c r="T47" s="714"/>
      <c r="U47" s="714"/>
      <c r="V47" s="714"/>
      <c r="W47" s="714"/>
      <c r="X47" s="714"/>
      <c r="Y47" s="714"/>
      <c r="Z47" s="714"/>
      <c r="AA47" s="714"/>
      <c r="AB47" s="714"/>
      <c r="AC47" s="714"/>
      <c r="AD47" s="714"/>
      <c r="AE47" s="714"/>
      <c r="AF47" s="714"/>
      <c r="AG47" s="714"/>
    </row>
    <row r="48" spans="1:33" ht="14.25" x14ac:dyDescent="0.2">
      <c r="A48" s="778">
        <v>2013</v>
      </c>
      <c r="B48" s="819"/>
      <c r="C48" s="780">
        <v>2.4E-2</v>
      </c>
      <c r="D48" s="714"/>
      <c r="E48" s="714"/>
      <c r="F48" s="714"/>
      <c r="G48" s="714"/>
      <c r="H48" s="714"/>
      <c r="I48" s="714"/>
      <c r="J48" s="714"/>
      <c r="K48" s="714"/>
      <c r="L48" s="714"/>
      <c r="M48" s="714"/>
      <c r="N48" s="714"/>
      <c r="O48" s="714"/>
      <c r="P48" s="714"/>
      <c r="Q48" s="714"/>
      <c r="R48" s="714"/>
      <c r="S48" s="714"/>
      <c r="T48" s="714"/>
      <c r="U48" s="714"/>
      <c r="V48" s="714"/>
      <c r="W48" s="714"/>
      <c r="X48" s="714"/>
      <c r="Y48" s="714"/>
      <c r="Z48" s="714"/>
      <c r="AA48" s="714"/>
      <c r="AB48" s="714"/>
      <c r="AC48" s="714"/>
      <c r="AD48" s="714"/>
      <c r="AE48" s="714"/>
      <c r="AF48" s="714"/>
      <c r="AG48" s="714"/>
    </row>
    <row r="49" spans="1:33" ht="14.25" x14ac:dyDescent="0.2">
      <c r="A49" s="778">
        <v>2014</v>
      </c>
      <c r="B49" s="819"/>
      <c r="C49" s="780">
        <v>2.8899999999999999E-2</v>
      </c>
      <c r="D49" s="714"/>
      <c r="E49" s="714"/>
      <c r="F49" s="714"/>
      <c r="G49" s="714"/>
      <c r="H49" s="714"/>
      <c r="I49" s="714"/>
      <c r="J49" s="714"/>
      <c r="K49" s="714"/>
      <c r="L49" s="714"/>
      <c r="M49" s="714"/>
      <c r="N49" s="714"/>
      <c r="O49" s="714"/>
      <c r="P49" s="714"/>
      <c r="Q49" s="714"/>
      <c r="R49" s="714"/>
      <c r="S49" s="714"/>
      <c r="T49" s="714"/>
      <c r="U49" s="714"/>
      <c r="V49" s="714"/>
      <c r="W49" s="714"/>
      <c r="X49" s="714"/>
      <c r="Y49" s="714"/>
      <c r="Z49" s="714"/>
      <c r="AA49" s="714"/>
      <c r="AB49" s="714"/>
      <c r="AC49" s="714"/>
      <c r="AD49" s="714"/>
      <c r="AE49" s="714"/>
      <c r="AF49" s="714"/>
      <c r="AG49" s="714"/>
    </row>
    <row r="50" spans="1:33" ht="14.25" x14ac:dyDescent="0.2">
      <c r="A50" s="778">
        <v>2015</v>
      </c>
      <c r="B50" s="819"/>
      <c r="C50" s="780">
        <v>5.21E-2</v>
      </c>
      <c r="D50" s="714"/>
      <c r="E50" s="714"/>
      <c r="F50" s="714"/>
      <c r="G50" s="714"/>
      <c r="H50" s="714"/>
      <c r="I50" s="714"/>
      <c r="J50" s="714"/>
      <c r="K50" s="714"/>
      <c r="L50" s="714"/>
      <c r="M50" s="714"/>
      <c r="N50" s="714"/>
      <c r="O50" s="714"/>
      <c r="P50" s="714"/>
      <c r="Q50" s="714"/>
      <c r="R50" s="714"/>
      <c r="S50" s="714"/>
      <c r="T50" s="714"/>
      <c r="U50" s="714"/>
      <c r="V50" s="714"/>
      <c r="W50" s="714"/>
      <c r="X50" s="714"/>
      <c r="Y50" s="714"/>
    </row>
    <row r="51" spans="1:33" ht="14.25" x14ac:dyDescent="0.2">
      <c r="A51" s="792">
        <v>2016</v>
      </c>
      <c r="B51" s="819"/>
      <c r="C51" s="780">
        <v>7.0800000000000002E-2</v>
      </c>
      <c r="D51" s="714"/>
      <c r="E51" s="714"/>
      <c r="F51" s="714"/>
      <c r="G51" s="714"/>
      <c r="H51" s="714"/>
      <c r="I51" s="714"/>
      <c r="J51" s="714"/>
      <c r="K51" s="714"/>
      <c r="L51" s="714"/>
      <c r="M51" s="714"/>
      <c r="N51" s="714"/>
      <c r="O51" s="714"/>
      <c r="P51" s="714"/>
      <c r="Q51" s="714"/>
      <c r="R51" s="714"/>
      <c r="S51" s="714"/>
      <c r="T51" s="714"/>
      <c r="U51" s="714"/>
      <c r="V51" s="714"/>
      <c r="W51" s="714"/>
      <c r="X51" s="714"/>
      <c r="Y51" s="714"/>
    </row>
    <row r="52" spans="1:33" ht="14.25" x14ac:dyDescent="0.2">
      <c r="A52" s="778">
        <v>2017</v>
      </c>
      <c r="B52" s="819"/>
      <c r="C52" s="820"/>
      <c r="D52" s="714"/>
      <c r="E52" s="714"/>
      <c r="F52" s="714"/>
      <c r="G52" s="714"/>
      <c r="H52" s="714"/>
      <c r="I52" s="714"/>
      <c r="J52" s="714"/>
      <c r="K52" s="714"/>
      <c r="L52" s="714"/>
      <c r="M52" s="714"/>
      <c r="N52" s="714"/>
      <c r="O52" s="714"/>
      <c r="P52" s="714"/>
      <c r="Q52" s="714"/>
      <c r="R52" s="714"/>
      <c r="S52" s="714"/>
      <c r="T52" s="714"/>
      <c r="U52" s="714"/>
      <c r="V52" s="714"/>
      <c r="W52" s="714"/>
      <c r="X52" s="714"/>
      <c r="Y52" s="714"/>
    </row>
    <row r="53" spans="1:33" ht="14.25" x14ac:dyDescent="0.2">
      <c r="A53" s="792">
        <v>2018</v>
      </c>
      <c r="B53" s="819"/>
      <c r="C53" s="820"/>
      <c r="D53" s="714"/>
      <c r="E53" s="714"/>
      <c r="F53" s="714"/>
      <c r="G53" s="714"/>
      <c r="H53" s="714"/>
      <c r="I53" s="714"/>
      <c r="J53" s="714"/>
      <c r="K53" s="714"/>
      <c r="L53" s="714"/>
      <c r="M53" s="714"/>
      <c r="N53" s="714"/>
      <c r="O53" s="714"/>
      <c r="P53" s="714"/>
      <c r="Q53" s="714"/>
      <c r="R53" s="714"/>
      <c r="S53" s="714"/>
      <c r="T53" s="714"/>
      <c r="U53" s="714"/>
      <c r="V53" s="714"/>
      <c r="W53" s="714"/>
      <c r="X53" s="714"/>
      <c r="Y53" s="714"/>
    </row>
    <row r="54" spans="1:33" ht="14.25" x14ac:dyDescent="0.2">
      <c r="A54" s="778">
        <v>2019</v>
      </c>
      <c r="B54" s="819">
        <v>0</v>
      </c>
      <c r="C54" s="820"/>
      <c r="D54" s="714"/>
      <c r="E54" s="714"/>
      <c r="F54" s="714"/>
      <c r="G54" s="714"/>
      <c r="H54" s="714"/>
      <c r="I54" s="714"/>
      <c r="J54" s="714"/>
      <c r="K54" s="714"/>
      <c r="L54" s="714"/>
      <c r="M54" s="714"/>
      <c r="N54" s="714"/>
      <c r="O54" s="714"/>
      <c r="P54" s="714"/>
      <c r="Q54" s="714"/>
      <c r="R54" s="714"/>
      <c r="S54" s="714"/>
      <c r="T54" s="714"/>
      <c r="U54" s="714"/>
      <c r="V54" s="714"/>
      <c r="W54" s="714"/>
      <c r="X54" s="714"/>
      <c r="Y54" s="714"/>
    </row>
    <row r="55" spans="1:33" ht="14.25" x14ac:dyDescent="0.2">
      <c r="A55" s="783" t="s">
        <v>1317</v>
      </c>
      <c r="B55" s="784">
        <f>SUM(B46:B54)</f>
        <v>0</v>
      </c>
      <c r="C55" s="785"/>
      <c r="D55" s="714"/>
      <c r="E55" s="714"/>
      <c r="F55" s="714"/>
      <c r="G55" s="714"/>
      <c r="H55" s="714"/>
      <c r="I55" s="714"/>
      <c r="J55" s="714"/>
      <c r="K55" s="714"/>
      <c r="L55" s="714"/>
      <c r="M55" s="714"/>
      <c r="N55" s="714"/>
      <c r="O55" s="714"/>
      <c r="P55" s="714"/>
      <c r="Q55" s="714"/>
      <c r="R55" s="714"/>
      <c r="S55" s="714"/>
      <c r="T55" s="714"/>
      <c r="U55" s="714"/>
      <c r="V55" s="714"/>
      <c r="W55" s="714"/>
      <c r="X55" s="714"/>
      <c r="Y55" s="714"/>
    </row>
    <row r="56" spans="1:33" ht="14.25" x14ac:dyDescent="0.2">
      <c r="D56" s="786"/>
      <c r="E56" s="786"/>
      <c r="F56" s="786"/>
      <c r="G56" s="786"/>
      <c r="H56" s="786"/>
      <c r="I56" s="786"/>
      <c r="J56" s="786"/>
      <c r="K56" s="786"/>
      <c r="L56" s="786"/>
      <c r="M56" s="786"/>
      <c r="N56" s="786"/>
      <c r="O56" s="786"/>
      <c r="P56" s="786"/>
      <c r="Q56" s="786"/>
      <c r="R56" s="786"/>
      <c r="S56" s="786"/>
      <c r="T56" s="786"/>
      <c r="U56" s="787"/>
      <c r="W56" s="714"/>
      <c r="X56" s="714"/>
      <c r="Y56" s="714"/>
    </row>
    <row r="57" spans="1:33" ht="14.25" x14ac:dyDescent="0.2">
      <c r="A57" s="1644" t="s">
        <v>1404</v>
      </c>
      <c r="B57" s="1644"/>
      <c r="C57" s="1644"/>
      <c r="D57" s="1644"/>
      <c r="E57" s="1644"/>
      <c r="F57" s="1644"/>
      <c r="G57" s="786"/>
      <c r="H57" s="786"/>
      <c r="I57" s="786"/>
      <c r="J57" s="786"/>
      <c r="K57" s="786"/>
      <c r="L57" s="786"/>
      <c r="M57" s="786"/>
      <c r="N57" s="786"/>
      <c r="O57" s="786"/>
      <c r="P57" s="786"/>
      <c r="Q57" s="786"/>
      <c r="R57" s="786"/>
      <c r="S57" s="786"/>
      <c r="T57" s="786"/>
      <c r="U57" s="786"/>
      <c r="W57" s="714"/>
      <c r="X57" s="714"/>
      <c r="Y57" s="714"/>
    </row>
    <row r="58" spans="1:33" ht="14.25" x14ac:dyDescent="0.2">
      <c r="W58" s="714"/>
      <c r="X58" s="714"/>
      <c r="Y58" s="714"/>
    </row>
    <row r="59" spans="1:33" ht="14.25" x14ac:dyDescent="0.2">
      <c r="A59" s="817" t="s">
        <v>1389</v>
      </c>
      <c r="B59" s="817" t="s">
        <v>1405</v>
      </c>
      <c r="C59" s="817" t="s">
        <v>1391</v>
      </c>
      <c r="D59" s="714"/>
      <c r="E59" s="714"/>
      <c r="F59" s="714"/>
      <c r="G59" s="714"/>
      <c r="H59" s="714"/>
      <c r="I59" s="714"/>
      <c r="J59" s="714"/>
      <c r="K59" s="714"/>
      <c r="L59" s="714"/>
      <c r="M59" s="714"/>
      <c r="N59" s="714"/>
      <c r="O59" s="714"/>
      <c r="P59" s="714"/>
      <c r="Q59" s="714"/>
      <c r="R59" s="714"/>
      <c r="S59" s="714"/>
      <c r="T59" s="714"/>
      <c r="U59" s="714"/>
      <c r="V59" s="714"/>
      <c r="W59" s="714"/>
      <c r="X59" s="714"/>
      <c r="Y59" s="714"/>
      <c r="Z59" s="714"/>
      <c r="AA59" s="714"/>
      <c r="AB59" s="714"/>
      <c r="AC59" s="714"/>
      <c r="AD59" s="714"/>
      <c r="AE59" s="714"/>
      <c r="AF59" s="714"/>
      <c r="AG59" s="714"/>
    </row>
    <row r="60" spans="1:33" ht="14.25" x14ac:dyDescent="0.2">
      <c r="A60" s="778">
        <v>2013</v>
      </c>
      <c r="B60" s="821"/>
      <c r="C60" s="780">
        <v>2.4E-2</v>
      </c>
      <c r="D60" s="714"/>
      <c r="E60" s="714"/>
      <c r="F60" s="714"/>
      <c r="G60" s="714"/>
      <c r="H60" s="714"/>
      <c r="I60" s="714"/>
      <c r="J60" s="714"/>
      <c r="K60" s="714"/>
      <c r="L60" s="714"/>
      <c r="M60" s="714"/>
      <c r="N60" s="714"/>
      <c r="O60" s="714"/>
      <c r="P60" s="714"/>
      <c r="Q60" s="714"/>
      <c r="R60" s="714"/>
      <c r="S60" s="714"/>
      <c r="T60" s="714"/>
      <c r="U60" s="714"/>
      <c r="V60" s="714"/>
      <c r="W60" s="714"/>
      <c r="X60" s="714"/>
      <c r="Y60" s="714"/>
      <c r="Z60" s="714"/>
      <c r="AA60" s="714"/>
      <c r="AB60" s="714"/>
      <c r="AC60" s="714"/>
      <c r="AD60" s="714"/>
      <c r="AE60" s="714"/>
      <c r="AF60" s="714"/>
      <c r="AG60" s="714"/>
    </row>
    <row r="61" spans="1:33" ht="14.25" x14ac:dyDescent="0.2">
      <c r="A61" s="778">
        <v>2014</v>
      </c>
      <c r="B61" s="821"/>
      <c r="C61" s="780">
        <v>2.8899999999999999E-2</v>
      </c>
      <c r="D61" s="714"/>
      <c r="E61" s="714"/>
      <c r="F61" s="714"/>
      <c r="G61" s="714"/>
      <c r="H61" s="714"/>
      <c r="I61" s="714"/>
      <c r="J61" s="714"/>
      <c r="K61" s="714"/>
      <c r="L61" s="714"/>
      <c r="M61" s="714"/>
      <c r="N61" s="714"/>
      <c r="O61" s="714"/>
      <c r="P61" s="714"/>
      <c r="Q61" s="714"/>
      <c r="R61" s="714"/>
      <c r="S61" s="714"/>
      <c r="T61" s="714"/>
      <c r="U61" s="714"/>
      <c r="V61" s="714"/>
      <c r="W61" s="714"/>
      <c r="X61" s="714"/>
      <c r="Y61" s="714"/>
      <c r="Z61" s="714"/>
      <c r="AA61" s="714"/>
      <c r="AB61" s="714"/>
      <c r="AC61" s="714"/>
      <c r="AD61" s="714"/>
      <c r="AE61" s="714"/>
      <c r="AF61" s="714"/>
      <c r="AG61" s="714"/>
    </row>
    <row r="62" spans="1:33" ht="14.25" x14ac:dyDescent="0.2">
      <c r="A62" s="778">
        <v>2015</v>
      </c>
      <c r="B62" s="819"/>
      <c r="C62" s="791">
        <v>5.21E-2</v>
      </c>
      <c r="D62" s="714"/>
      <c r="E62" s="714"/>
      <c r="F62" s="714"/>
      <c r="G62" s="714"/>
      <c r="H62" s="714"/>
      <c r="I62" s="714"/>
      <c r="J62" s="714"/>
      <c r="K62" s="714"/>
      <c r="L62" s="714"/>
      <c r="M62" s="714"/>
      <c r="N62" s="714"/>
      <c r="O62" s="714"/>
      <c r="P62" s="714"/>
      <c r="Q62" s="714"/>
      <c r="R62" s="714"/>
      <c r="S62" s="714"/>
      <c r="T62" s="714"/>
      <c r="U62" s="714"/>
      <c r="V62" s="714"/>
      <c r="W62" s="714"/>
      <c r="X62" s="714"/>
      <c r="Y62" s="714"/>
      <c r="Z62" s="714"/>
      <c r="AA62" s="714"/>
      <c r="AB62" s="714"/>
      <c r="AC62" s="714"/>
      <c r="AD62" s="714"/>
      <c r="AE62" s="714"/>
      <c r="AF62" s="714"/>
      <c r="AG62" s="714"/>
    </row>
    <row r="63" spans="1:33" ht="14.25" x14ac:dyDescent="0.2">
      <c r="A63" s="792">
        <v>2016</v>
      </c>
      <c r="B63" s="822"/>
      <c r="C63" s="794">
        <v>7.0800000000000002E-2</v>
      </c>
      <c r="D63" s="714"/>
      <c r="E63" s="714"/>
      <c r="F63" s="714"/>
      <c r="G63" s="714"/>
      <c r="H63" s="714"/>
      <c r="I63" s="714"/>
      <c r="J63" s="714"/>
      <c r="K63" s="714"/>
      <c r="L63" s="714"/>
      <c r="M63" s="714"/>
      <c r="N63" s="714"/>
      <c r="O63" s="714"/>
      <c r="P63" s="714"/>
      <c r="Q63" s="714"/>
      <c r="R63" s="714"/>
      <c r="S63" s="714"/>
      <c r="T63" s="714"/>
      <c r="U63" s="714"/>
      <c r="V63" s="714"/>
      <c r="W63" s="714"/>
      <c r="X63" s="714"/>
      <c r="Y63" s="714"/>
      <c r="Z63" s="714"/>
      <c r="AA63" s="714"/>
      <c r="AB63" s="714"/>
      <c r="AC63" s="714"/>
      <c r="AD63" s="714"/>
      <c r="AE63" s="714"/>
      <c r="AF63" s="714"/>
      <c r="AG63" s="714"/>
    </row>
    <row r="64" spans="1:33" ht="14.25" x14ac:dyDescent="0.2">
      <c r="A64" s="783" t="s">
        <v>1317</v>
      </c>
      <c r="B64" s="784">
        <f>SUM(B60:B63)</f>
        <v>0</v>
      </c>
      <c r="C64" s="785"/>
      <c r="D64" s="714"/>
      <c r="E64" s="714"/>
      <c r="F64" s="714"/>
      <c r="G64" s="714"/>
      <c r="H64" s="714"/>
      <c r="I64" s="714"/>
      <c r="J64" s="714"/>
      <c r="K64" s="714"/>
      <c r="L64" s="714"/>
      <c r="M64" s="714"/>
      <c r="N64" s="714"/>
      <c r="O64" s="714"/>
      <c r="P64" s="714"/>
      <c r="Q64" s="714"/>
      <c r="R64" s="714"/>
      <c r="S64" s="714"/>
      <c r="T64" s="714"/>
      <c r="U64" s="714"/>
      <c r="V64" s="714"/>
      <c r="W64" s="714"/>
      <c r="X64" s="714"/>
      <c r="Y64" s="714"/>
      <c r="Z64" s="714"/>
      <c r="AA64" s="714"/>
      <c r="AB64" s="714"/>
      <c r="AC64" s="714"/>
      <c r="AD64" s="714"/>
      <c r="AE64" s="714"/>
      <c r="AF64" s="714"/>
      <c r="AG64" s="714"/>
    </row>
    <row r="65" spans="1:33" ht="14.25" x14ac:dyDescent="0.2">
      <c r="A65" s="723"/>
      <c r="B65" s="795"/>
      <c r="C65" s="714"/>
      <c r="D65" s="714"/>
      <c r="E65" s="714"/>
      <c r="F65" s="714"/>
      <c r="G65" s="714"/>
      <c r="H65" s="714"/>
      <c r="I65" s="714"/>
      <c r="J65" s="714"/>
      <c r="K65" s="714"/>
      <c r="L65" s="714"/>
      <c r="M65" s="714"/>
      <c r="N65" s="714"/>
      <c r="O65" s="714"/>
      <c r="P65" s="714"/>
      <c r="Q65" s="714"/>
      <c r="R65" s="714"/>
      <c r="S65" s="714"/>
      <c r="T65" s="714"/>
      <c r="U65" s="714"/>
      <c r="V65" s="714"/>
      <c r="W65" s="714"/>
      <c r="X65" s="714"/>
      <c r="Y65" s="714"/>
      <c r="Z65" s="714"/>
      <c r="AA65" s="714"/>
      <c r="AB65" s="714"/>
      <c r="AC65" s="714"/>
      <c r="AD65" s="714"/>
      <c r="AE65" s="714"/>
      <c r="AF65" s="714"/>
      <c r="AG65" s="714"/>
    </row>
    <row r="66" spans="1:33" ht="14.25" x14ac:dyDescent="0.2">
      <c r="A66" s="723"/>
      <c r="B66" s="795"/>
      <c r="C66" s="714"/>
      <c r="D66" s="714"/>
      <c r="E66" s="714"/>
      <c r="F66" s="715"/>
      <c r="G66" s="715"/>
      <c r="H66" s="714"/>
      <c r="I66" s="714"/>
      <c r="J66" s="714"/>
      <c r="K66" s="714"/>
      <c r="L66" s="714"/>
      <c r="M66" s="714"/>
      <c r="N66" s="714"/>
      <c r="O66" s="714"/>
      <c r="P66" s="714"/>
      <c r="Q66" s="714"/>
      <c r="R66" s="714"/>
      <c r="S66" s="714"/>
      <c r="T66" s="714"/>
      <c r="U66" s="714"/>
      <c r="V66" s="714"/>
      <c r="W66" s="714"/>
      <c r="X66" s="714"/>
      <c r="Y66" s="714"/>
    </row>
    <row r="67" spans="1:33" ht="14.25" x14ac:dyDescent="0.2">
      <c r="A67" s="723"/>
      <c r="B67" s="795"/>
      <c r="C67" s="714"/>
      <c r="D67" s="714"/>
      <c r="E67" s="714"/>
      <c r="F67" s="715"/>
      <c r="G67" s="715"/>
      <c r="H67" s="714"/>
      <c r="I67" s="714"/>
      <c r="J67" s="714"/>
      <c r="K67" s="714"/>
      <c r="L67" s="714"/>
      <c r="M67" s="714"/>
      <c r="N67" s="714"/>
      <c r="O67" s="714"/>
      <c r="P67" s="714"/>
      <c r="Q67" s="714"/>
      <c r="R67" s="714"/>
      <c r="S67" s="714"/>
      <c r="T67" s="714"/>
      <c r="U67" s="714"/>
      <c r="V67" s="714"/>
      <c r="W67" s="714"/>
      <c r="X67" s="714"/>
      <c r="Y67" s="714"/>
    </row>
    <row r="68" spans="1:33" ht="14.25" x14ac:dyDescent="0.2">
      <c r="A68" s="823"/>
      <c r="B68" s="824"/>
      <c r="C68" s="824"/>
      <c r="D68" s="824"/>
      <c r="E68" s="824"/>
      <c r="F68" s="824"/>
      <c r="G68" s="824"/>
      <c r="H68" s="824"/>
      <c r="I68" s="824"/>
      <c r="J68" s="824"/>
      <c r="K68" s="824"/>
      <c r="L68" s="824"/>
      <c r="M68" s="824"/>
      <c r="N68" s="824"/>
      <c r="O68" s="824"/>
      <c r="P68" s="824"/>
      <c r="Q68" s="824"/>
      <c r="R68" s="824"/>
      <c r="S68" s="824"/>
      <c r="T68" s="824"/>
      <c r="U68" s="796"/>
      <c r="V68" s="824"/>
      <c r="W68" s="824"/>
      <c r="X68" s="824"/>
      <c r="Y68" s="824"/>
    </row>
  </sheetData>
  <mergeCells count="8">
    <mergeCell ref="A57:F57"/>
    <mergeCell ref="A5:I5"/>
    <mergeCell ref="A23:I23"/>
    <mergeCell ref="A3:E3"/>
    <mergeCell ref="A4:C4"/>
    <mergeCell ref="A41:F41"/>
    <mergeCell ref="A42:C42"/>
    <mergeCell ref="A43:F43"/>
  </mergeCells>
  <dataValidations xWindow="466" yWindow="442" count="5">
    <dataValidation allowBlank="1" showInputMessage="1" showErrorMessage="1" prompt="Digite la pérdida declarada en cada año gravable teniendo en cuenta art 147 ET" sqref="B8:B20" xr:uid="{00000000-0002-0000-2200-000000000000}"/>
    <dataValidation allowBlank="1" showInputMessage="1" showErrorMessage="1" prompt="Este es el % de reajuste fiscal, si usted no quiere reajustar las perdidas, borre el contenido de esta celda." sqref="C60:C61 C46:C54 C9:C20" xr:uid="{00000000-0002-0000-2200-000001000000}"/>
    <dataValidation allowBlank="1" showInputMessage="1" showErrorMessage="1" prompt="Digite el exceso de báse mínima CREE obtenido en cada año gravable " sqref="B60:B63" xr:uid="{00000000-0002-0000-2200-000002000000}"/>
    <dataValidation allowBlank="1" showInputMessage="1" showErrorMessage="1" prompt="Digite el exceso de renta presuntiva obtenido en cada año gravable " sqref="B48:B53" xr:uid="{00000000-0002-0000-2200-000003000000}"/>
    <dataValidation allowBlank="1" showInputMessage="1" showErrorMessage="1" prompt="Digite la pérdida declarada en cada año gravable " sqref="B54 B46:B47" xr:uid="{00000000-0002-0000-2200-000004000000}"/>
  </dataValidations>
  <pageMargins left="0.7" right="0.7" top="0.75" bottom="0.75" header="0.3" footer="0.3"/>
  <drawing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2:K25"/>
  <sheetViews>
    <sheetView showGridLines="0" topLeftCell="A13" zoomScale="150" zoomScaleNormal="150" workbookViewId="0">
      <selection activeCell="G10" sqref="G10"/>
    </sheetView>
  </sheetViews>
  <sheetFormatPr baseColWidth="10" defaultRowHeight="12.75" x14ac:dyDescent="0.2"/>
  <cols>
    <col min="1" max="2" width="11.42578125" style="190"/>
    <col min="3" max="3" width="12.5703125" style="190" bestFit="1" customWidth="1"/>
    <col min="4" max="4" width="13.7109375" style="190" customWidth="1"/>
    <col min="5" max="6" width="14.5703125" style="190" customWidth="1"/>
    <col min="7" max="8" width="12.5703125" style="190" bestFit="1" customWidth="1"/>
    <col min="9" max="9" width="16.42578125" style="190" customWidth="1"/>
    <col min="10" max="10" width="12.5703125" style="190" bestFit="1" customWidth="1"/>
    <col min="11" max="16384" width="11.42578125" style="190"/>
  </cols>
  <sheetData>
    <row r="2" spans="1:11" x14ac:dyDescent="0.2">
      <c r="A2" s="190" t="s">
        <v>2074</v>
      </c>
    </row>
    <row r="4" spans="1:11" ht="51" x14ac:dyDescent="0.2">
      <c r="A4" s="1087" t="s">
        <v>2078</v>
      </c>
      <c r="B4" s="1088"/>
      <c r="C4" s="1083" t="s">
        <v>980</v>
      </c>
      <c r="D4" s="1083" t="s">
        <v>2172</v>
      </c>
      <c r="E4" s="1083" t="s">
        <v>2082</v>
      </c>
      <c r="F4" s="1083" t="s">
        <v>2084</v>
      </c>
      <c r="G4" s="1083" t="s">
        <v>2097</v>
      </c>
      <c r="H4" s="1083" t="s">
        <v>2085</v>
      </c>
      <c r="I4" s="1083" t="s">
        <v>2098</v>
      </c>
    </row>
    <row r="5" spans="1:11" x14ac:dyDescent="0.2">
      <c r="A5" s="1089" t="s">
        <v>2075</v>
      </c>
      <c r="B5" s="1086"/>
      <c r="C5" s="364">
        <v>415000000</v>
      </c>
      <c r="D5" s="364">
        <v>315000000</v>
      </c>
      <c r="E5" s="364">
        <v>400000000</v>
      </c>
      <c r="F5" s="364">
        <f>+D5</f>
        <v>315000000</v>
      </c>
      <c r="G5" s="1084">
        <f>+E5</f>
        <v>400000000</v>
      </c>
      <c r="H5" s="1085">
        <f>+C5-G5</f>
        <v>15000000</v>
      </c>
      <c r="I5" s="1085">
        <v>0</v>
      </c>
    </row>
    <row r="6" spans="1:11" x14ac:dyDescent="0.2">
      <c r="A6" s="190" t="s">
        <v>2077</v>
      </c>
      <c r="C6" s="364">
        <v>650000000</v>
      </c>
      <c r="D6" s="364">
        <f>+C10-D10</f>
        <v>121000000</v>
      </c>
      <c r="E6" s="364">
        <v>612000000</v>
      </c>
      <c r="F6" s="364">
        <f>+D6</f>
        <v>121000000</v>
      </c>
      <c r="G6" s="1084">
        <f>+E6-D10</f>
        <v>412000000</v>
      </c>
      <c r="H6" s="1085">
        <f>+C6-G6</f>
        <v>238000000</v>
      </c>
      <c r="I6" s="1085">
        <f>+IF((D10&lt;H6),D10,H6)</f>
        <v>200000000</v>
      </c>
    </row>
    <row r="7" spans="1:11" x14ac:dyDescent="0.2">
      <c r="A7" s="1089" t="s">
        <v>2076</v>
      </c>
      <c r="B7" s="1086"/>
      <c r="C7" s="364">
        <v>123000000</v>
      </c>
      <c r="D7" s="364">
        <f>+C11-D11</f>
        <v>75000000</v>
      </c>
      <c r="E7" s="364"/>
      <c r="F7" s="364">
        <f>+D7</f>
        <v>75000000</v>
      </c>
      <c r="G7" s="364">
        <f>+D7</f>
        <v>75000000</v>
      </c>
      <c r="H7" s="1085">
        <f>+C7-G7</f>
        <v>48000000</v>
      </c>
      <c r="I7" s="1085">
        <f>+IF((D11&lt;H7),D11,H7)</f>
        <v>48000000</v>
      </c>
    </row>
    <row r="8" spans="1:11" x14ac:dyDescent="0.2">
      <c r="D8" s="240"/>
      <c r="E8" s="240"/>
      <c r="F8" s="240"/>
      <c r="G8" s="240"/>
      <c r="H8" s="240"/>
      <c r="J8" s="318"/>
    </row>
    <row r="9" spans="1:11" x14ac:dyDescent="0.2">
      <c r="C9" s="190" t="s">
        <v>2083</v>
      </c>
      <c r="D9" s="240" t="s">
        <v>2080</v>
      </c>
      <c r="E9" s="240"/>
      <c r="F9" s="240"/>
      <c r="G9" s="240"/>
      <c r="H9" s="240"/>
    </row>
    <row r="10" spans="1:11" x14ac:dyDescent="0.2">
      <c r="B10" s="190" t="s">
        <v>2079</v>
      </c>
      <c r="C10" s="240">
        <v>321000000</v>
      </c>
      <c r="D10" s="240">
        <v>200000000</v>
      </c>
      <c r="E10" s="240"/>
      <c r="F10" s="240"/>
      <c r="G10" s="240"/>
      <c r="H10" s="240"/>
    </row>
    <row r="11" spans="1:11" x14ac:dyDescent="0.2">
      <c r="B11" s="190" t="s">
        <v>2081</v>
      </c>
      <c r="C11" s="240">
        <v>225000000</v>
      </c>
      <c r="D11" s="240">
        <v>150000000</v>
      </c>
      <c r="E11" s="240"/>
      <c r="F11" s="240"/>
      <c r="G11" s="240"/>
      <c r="H11" s="240"/>
    </row>
    <row r="12" spans="1:11" x14ac:dyDescent="0.2">
      <c r="D12" s="240"/>
      <c r="E12" s="240"/>
      <c r="F12" s="240"/>
      <c r="G12" s="240"/>
      <c r="H12" s="240"/>
    </row>
    <row r="13" spans="1:11" x14ac:dyDescent="0.2">
      <c r="D13" s="240"/>
      <c r="E13" s="240"/>
      <c r="F13" s="240"/>
      <c r="G13" s="240"/>
      <c r="H13" s="240"/>
    </row>
    <row r="14" spans="1:11" x14ac:dyDescent="0.2">
      <c r="B14" s="1070" t="s">
        <v>1156</v>
      </c>
      <c r="C14" s="1071"/>
      <c r="D14" s="1071"/>
      <c r="E14" s="483">
        <v>80</v>
      </c>
      <c r="F14" s="364">
        <f>+C5+C6+C7</f>
        <v>1188000000</v>
      </c>
      <c r="G14" s="240"/>
      <c r="H14" s="240"/>
      <c r="I14" s="240"/>
      <c r="J14" s="240"/>
      <c r="K14" s="240"/>
    </row>
    <row r="15" spans="1:11" ht="12.75" customHeight="1" x14ac:dyDescent="0.2">
      <c r="B15" s="1076" t="s">
        <v>1157</v>
      </c>
      <c r="C15" s="1078"/>
      <c r="D15" s="1079"/>
      <c r="E15" s="1072">
        <v>81</v>
      </c>
      <c r="F15" s="364"/>
      <c r="G15" s="240"/>
      <c r="H15" s="240"/>
      <c r="I15" s="240"/>
      <c r="J15" s="240"/>
      <c r="K15" s="240"/>
    </row>
    <row r="16" spans="1:11" ht="12.75" customHeight="1" x14ac:dyDescent="0.2">
      <c r="B16" s="1070" t="s">
        <v>1159</v>
      </c>
      <c r="C16" s="1070"/>
      <c r="D16" s="1070"/>
      <c r="E16" s="483">
        <v>82</v>
      </c>
      <c r="F16" s="364"/>
      <c r="G16" s="240"/>
      <c r="H16" s="240"/>
      <c r="I16" s="240"/>
      <c r="J16" s="240"/>
      <c r="K16" s="240"/>
    </row>
    <row r="17" spans="2:11" x14ac:dyDescent="0.2">
      <c r="B17" s="1076" t="s">
        <v>1161</v>
      </c>
      <c r="C17" s="1076"/>
      <c r="D17" s="1077"/>
      <c r="E17" s="1072">
        <v>83</v>
      </c>
      <c r="F17" s="364">
        <f>+G5+G6+G7</f>
        <v>887000000</v>
      </c>
      <c r="G17" s="240"/>
      <c r="H17" s="240"/>
      <c r="I17" s="240"/>
      <c r="J17" s="240"/>
      <c r="K17" s="240"/>
    </row>
    <row r="18" spans="2:11" x14ac:dyDescent="0.2">
      <c r="B18" s="1070" t="s">
        <v>1163</v>
      </c>
      <c r="C18" s="1070"/>
      <c r="D18" s="1070"/>
      <c r="E18" s="483">
        <v>84</v>
      </c>
      <c r="F18" s="364">
        <f>+I5+I6+I7</f>
        <v>248000000</v>
      </c>
      <c r="G18" s="240" t="s">
        <v>959</v>
      </c>
      <c r="H18" s="240"/>
      <c r="I18" s="240"/>
      <c r="J18" s="240"/>
      <c r="K18" s="240"/>
    </row>
    <row r="19" spans="2:11" x14ac:dyDescent="0.2">
      <c r="B19" s="1074" t="s">
        <v>1164</v>
      </c>
      <c r="C19" s="1074"/>
      <c r="D19" s="1075"/>
      <c r="E19" s="1073">
        <v>85</v>
      </c>
      <c r="F19" s="1080">
        <f>+F14-F17-F18</f>
        <v>53000000</v>
      </c>
      <c r="G19" s="240"/>
      <c r="H19" s="240"/>
      <c r="I19" s="240"/>
      <c r="J19" s="240"/>
      <c r="K19" s="240"/>
    </row>
    <row r="21" spans="2:11" ht="12.75" customHeight="1" x14ac:dyDescent="0.2">
      <c r="B21" s="1081" t="s">
        <v>1215</v>
      </c>
      <c r="C21" s="1081"/>
      <c r="D21" s="1082"/>
      <c r="E21" s="483">
        <v>70</v>
      </c>
      <c r="F21" s="364">
        <f>+F18</f>
        <v>248000000</v>
      </c>
    </row>
    <row r="24" spans="2:11" x14ac:dyDescent="0.2">
      <c r="C24" s="190" t="s">
        <v>2086</v>
      </c>
      <c r="F24" s="240">
        <f>+F21*32%</f>
        <v>79360000</v>
      </c>
    </row>
    <row r="25" spans="2:11" x14ac:dyDescent="0.2">
      <c r="C25" s="190" t="s">
        <v>2087</v>
      </c>
      <c r="F25" s="240">
        <f>+F19*10%</f>
        <v>5300000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36</vt:i4>
      </vt:variant>
      <vt:variant>
        <vt:lpstr>Rangos con nombre</vt:lpstr>
      </vt:variant>
      <vt:variant>
        <vt:i4>3</vt:i4>
      </vt:variant>
    </vt:vector>
  </HeadingPairs>
  <TitlesOfParts>
    <vt:vector size="39" baseType="lpstr">
      <vt:lpstr>BP 010120x1</vt:lpstr>
      <vt:lpstr>Diario 20x2</vt:lpstr>
      <vt:lpstr>BP 311220x2</vt:lpstr>
      <vt:lpstr>Diario 20x3</vt:lpstr>
      <vt:lpstr>BP 311220x3</vt:lpstr>
      <vt:lpstr>Sumaria contabilidad</vt:lpstr>
      <vt:lpstr>110 Renta 20x3</vt:lpstr>
      <vt:lpstr>Sumaria renta 20x3</vt:lpstr>
      <vt:lpstr>2516 20x3</vt:lpstr>
      <vt:lpstr>Activos y pasivos ME</vt:lpstr>
      <vt:lpstr>ESF</vt:lpstr>
      <vt:lpstr>ERI</vt:lpstr>
      <vt:lpstr>Cam pat</vt:lpstr>
      <vt:lpstr>Flujos indirecto</vt:lpstr>
      <vt:lpstr>Hojas flujo indirecto</vt:lpstr>
      <vt:lpstr>Notas</vt:lpstr>
      <vt:lpstr>Banco ext</vt:lpstr>
      <vt:lpstr>Acciones</vt:lpstr>
      <vt:lpstr>Derivados</vt:lpstr>
      <vt:lpstr>CDT</vt:lpstr>
      <vt:lpstr>Clientes</vt:lpstr>
      <vt:lpstr>Inventarios</vt:lpstr>
      <vt:lpstr>PPYE</vt:lpstr>
      <vt:lpstr>Otros activos</vt:lpstr>
      <vt:lpstr>Pasivos</vt:lpstr>
      <vt:lpstr>Laboral</vt:lpstr>
      <vt:lpstr>Imp corriente</vt:lpstr>
      <vt:lpstr>Imp diferidos</vt:lpstr>
      <vt:lpstr>Int presuntos</vt:lpstr>
      <vt:lpstr>Justi pat</vt:lpstr>
      <vt:lpstr>Anticipo</vt:lpstr>
      <vt:lpstr>RP</vt:lpstr>
      <vt:lpstr>retenciones</vt:lpstr>
      <vt:lpstr>Ica</vt:lpstr>
      <vt:lpstr>Compensacion</vt:lpstr>
      <vt:lpstr>Venta de PPYE</vt:lpstr>
      <vt:lpstr>ERI!Área_de_impresión</vt:lpstr>
      <vt:lpstr>ESF!Área_de_impresión</vt:lpstr>
      <vt:lpstr>'Flujos indirecto'!Área_de_impresión</vt:lpstr>
    </vt:vector>
  </TitlesOfParts>
  <Company>LEO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dc:creator>
  <cp:lastModifiedBy>Leonardo Varón</cp:lastModifiedBy>
  <cp:lastPrinted>2021-03-11T20:55:33Z</cp:lastPrinted>
  <dcterms:created xsi:type="dcterms:W3CDTF">2010-08-14T15:22:01Z</dcterms:created>
  <dcterms:modified xsi:type="dcterms:W3CDTF">2024-08-27T02:05:25Z</dcterms:modified>
</cp:coreProperties>
</file>