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SRS\Vertrieb\Wirtschaftlichkeitsberechnung\"/>
    </mc:Choice>
  </mc:AlternateContent>
  <xr:revisionPtr revIDLastSave="0" documentId="13_ncr:1_{B3762D89-56AC-484E-8A05-229853348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rschaftlichkeitsberechnung" sheetId="1" r:id="rId1"/>
    <sheet name="Vergütung" sheetId="2" r:id="rId2"/>
    <sheet name="Tabelle3" sheetId="4" state="hidden" r:id="rId3"/>
  </sheets>
  <definedNames>
    <definedName name="_xlnm.Print_Area" localSheetId="0">Wirschaftlichkeitsberechnung!$A$1:$I$47</definedName>
    <definedName name="Z_0050EDD7_05C7_4FC9_BEC6_25C857C3B626_.wvu.Cols" localSheetId="0" hidden="1">Wirschaftlichkeitsberechnung!$K:$L</definedName>
    <definedName name="Z_0050EDD7_05C7_4FC9_BEC6_25C857C3B626_.wvu.PrintArea" localSheetId="0" hidden="1">Wirschaftlichkeitsberechnung!$A$1:$I$47</definedName>
  </definedNames>
  <calcPr calcId="191029" concurrentCalc="0"/>
  <customWorkbookViews>
    <customWorkbookView name="Carolin Sommer - Persönliche Ansicht" guid="{0050EDD7-05C7-4FC9-BEC6-25C857C3B626}" mergeInterval="0" personalView="1" maximized="1" windowWidth="1360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4" i="1"/>
  <c r="C36" i="1"/>
  <c r="C27" i="1"/>
  <c r="F27" i="1"/>
  <c r="C28" i="1"/>
  <c r="F28" i="1"/>
  <c r="C29" i="1"/>
  <c r="F29" i="1"/>
  <c r="C30" i="1"/>
  <c r="F30" i="1"/>
  <c r="C31" i="1"/>
  <c r="F31" i="1"/>
  <c r="C32" i="1"/>
  <c r="F32" i="1"/>
  <c r="C33" i="1"/>
  <c r="F33" i="1"/>
  <c r="C34" i="1"/>
  <c r="F34" i="1"/>
  <c r="C35" i="1"/>
  <c r="F35" i="1"/>
  <c r="D36" i="1"/>
  <c r="E36" i="1"/>
  <c r="L17" i="1"/>
  <c r="L18" i="1"/>
  <c r="L19" i="1"/>
  <c r="L20" i="1"/>
  <c r="L21" i="1"/>
  <c r="B6" i="1"/>
  <c r="B7" i="1"/>
  <c r="B8" i="1"/>
  <c r="D8" i="1"/>
  <c r="B9" i="1"/>
  <c r="B10" i="1"/>
  <c r="D16" i="1"/>
  <c r="B27" i="1"/>
  <c r="D27" i="1"/>
  <c r="E27" i="1"/>
  <c r="G27" i="1"/>
  <c r="H27" i="1"/>
  <c r="D28" i="1"/>
  <c r="E28" i="1"/>
  <c r="B28" i="1"/>
  <c r="G28" i="1"/>
  <c r="D29" i="1"/>
  <c r="E29" i="1"/>
  <c r="B29" i="1"/>
  <c r="G29" i="1"/>
  <c r="D30" i="1"/>
  <c r="E30" i="1"/>
  <c r="B30" i="1"/>
  <c r="G30" i="1"/>
  <c r="D31" i="1"/>
  <c r="E31" i="1"/>
  <c r="B31" i="1"/>
  <c r="G31" i="1"/>
  <c r="D32" i="1"/>
  <c r="E32" i="1"/>
  <c r="B32" i="1"/>
  <c r="G32" i="1"/>
  <c r="D33" i="1"/>
  <c r="E33" i="1"/>
  <c r="B33" i="1"/>
  <c r="G33" i="1"/>
  <c r="D34" i="1"/>
  <c r="E34" i="1"/>
  <c r="B34" i="1"/>
  <c r="G34" i="1"/>
  <c r="D35" i="1"/>
  <c r="E35" i="1"/>
  <c r="B35" i="1"/>
  <c r="G35" i="1"/>
  <c r="B36" i="1"/>
  <c r="G36" i="1"/>
  <c r="I36" i="1"/>
  <c r="C37" i="1"/>
  <c r="F36" i="1"/>
  <c r="D37" i="1"/>
  <c r="E37" i="1"/>
  <c r="B37" i="1"/>
  <c r="G37" i="1"/>
  <c r="C38" i="1"/>
  <c r="F37" i="1"/>
  <c r="D38" i="1"/>
  <c r="E38" i="1"/>
  <c r="B38" i="1"/>
  <c r="G38" i="1"/>
  <c r="C39" i="1"/>
  <c r="F38" i="1"/>
  <c r="D39" i="1"/>
  <c r="E39" i="1"/>
  <c r="B39" i="1"/>
  <c r="G39" i="1"/>
  <c r="C40" i="1"/>
  <c r="F39" i="1"/>
  <c r="D40" i="1"/>
  <c r="E40" i="1"/>
  <c r="B40" i="1"/>
  <c r="G40" i="1"/>
  <c r="C41" i="1"/>
  <c r="F40" i="1"/>
  <c r="D41" i="1"/>
  <c r="E41" i="1"/>
  <c r="B41" i="1"/>
  <c r="G41" i="1"/>
  <c r="C42" i="1"/>
  <c r="F41" i="1"/>
  <c r="D42" i="1"/>
  <c r="E42" i="1"/>
  <c r="B42" i="1"/>
  <c r="G42" i="1"/>
  <c r="C43" i="1"/>
  <c r="F42" i="1"/>
  <c r="D43" i="1"/>
  <c r="E43" i="1"/>
  <c r="B43" i="1"/>
  <c r="G43" i="1"/>
  <c r="C44" i="1"/>
  <c r="F43" i="1"/>
  <c r="D44" i="1"/>
  <c r="E44" i="1"/>
  <c r="B44" i="1"/>
  <c r="G44" i="1"/>
  <c r="C45" i="1"/>
  <c r="F44" i="1"/>
  <c r="D45" i="1"/>
  <c r="E45" i="1"/>
  <c r="B45" i="1"/>
  <c r="G45" i="1"/>
  <c r="C46" i="1"/>
  <c r="F45" i="1"/>
  <c r="D46" i="1"/>
  <c r="E46" i="1"/>
  <c r="B46" i="1"/>
  <c r="G46" i="1"/>
  <c r="I46" i="1"/>
  <c r="I27" i="1"/>
  <c r="H28" i="1"/>
  <c r="H29" i="1"/>
  <c r="B47" i="1"/>
  <c r="I28" i="1"/>
  <c r="I29" i="1"/>
  <c r="I30" i="1"/>
  <c r="H30" i="1"/>
  <c r="H31" i="1"/>
  <c r="I32" i="1"/>
  <c r="I31" i="1"/>
  <c r="H32" i="1"/>
  <c r="I33" i="1"/>
  <c r="H34" i="1"/>
  <c r="H33" i="1"/>
  <c r="I34" i="1"/>
  <c r="H35" i="1"/>
  <c r="I35" i="1"/>
  <c r="H37" i="1"/>
  <c r="H36" i="1"/>
  <c r="I37" i="1"/>
  <c r="H38" i="1"/>
  <c r="H39" i="1"/>
  <c r="I38" i="1"/>
  <c r="H40" i="1"/>
  <c r="I39" i="1"/>
  <c r="I40" i="1"/>
  <c r="H41" i="1"/>
  <c r="I41" i="1"/>
  <c r="H43" i="1"/>
  <c r="H42" i="1"/>
  <c r="I42" i="1"/>
  <c r="I43" i="1"/>
  <c r="H45" i="1"/>
  <c r="H44" i="1"/>
  <c r="I44" i="1"/>
  <c r="I45" i="1"/>
  <c r="F46" i="1"/>
  <c r="H46" i="1"/>
  <c r="I47" i="1"/>
</calcChain>
</file>

<file path=xl/sharedStrings.xml><?xml version="1.0" encoding="utf-8"?>
<sst xmlns="http://schemas.openxmlformats.org/spreadsheetml/2006/main" count="56" uniqueCount="53">
  <si>
    <t>Beispiel:</t>
  </si>
  <si>
    <t>Zinsen in Prozent:</t>
  </si>
  <si>
    <t>Jahr:</t>
  </si>
  <si>
    <t>Tilgung:</t>
  </si>
  <si>
    <t>Zinsen:</t>
  </si>
  <si>
    <t>Kapitaldienst:</t>
  </si>
  <si>
    <t>Restschuld:</t>
  </si>
  <si>
    <t>Ertrag gesamt:</t>
  </si>
  <si>
    <t>Ertrag / kW / Jahr:</t>
  </si>
  <si>
    <t>Finanzierungdauer in Jahren:</t>
  </si>
  <si>
    <t>Anlagenkosten in Euro:</t>
  </si>
  <si>
    <t>Vergütung pro erzeugter Kilowattstunde in Euro für Photovoltaik auf Dächern</t>
  </si>
  <si>
    <t>Anlagengröße in kWp:</t>
  </si>
  <si>
    <t>Vergütungssatz der PV-Anlage in Cent</t>
  </si>
  <si>
    <t>Eigenkapital in Euro:</t>
  </si>
  <si>
    <t>Fremdkapital in Euro:</t>
  </si>
  <si>
    <t>Ertrag pro
Jahr:</t>
  </si>
  <si>
    <t>Eigenanteil /
Überschuss:</t>
  </si>
  <si>
    <t>Pro Monat
+ / -:</t>
  </si>
  <si>
    <t>Gesamtaufwand /
Gesamtertrag:</t>
  </si>
  <si>
    <t>Preis / kWp in Euro:</t>
  </si>
  <si>
    <t>- bis 10 kW</t>
  </si>
  <si>
    <t>- bis 40 kW</t>
  </si>
  <si>
    <t xml:space="preserve">Kalkulation für PV-Anlagen ab </t>
  </si>
  <si>
    <t>Eigenverbrauchanteil in %:</t>
  </si>
  <si>
    <t>Kalendermonat</t>
  </si>
  <si>
    <t>Wirkleistungsfernsteuerung:</t>
  </si>
  <si>
    <t>Ja</t>
  </si>
  <si>
    <t>Nein</t>
  </si>
  <si>
    <t>Stromkosten in €/kWh netto:</t>
  </si>
  <si>
    <t>EEG-Umlage in Ct/kWh EV:</t>
  </si>
  <si>
    <t>Freifläche:</t>
  </si>
  <si>
    <t>Alle Angaben sind ohne Gewähr.</t>
  </si>
  <si>
    <t>- bis 100 kW</t>
  </si>
  <si>
    <t>bis 10 kWp (Ct/kWh)</t>
  </si>
  <si>
    <t>bis 40 kWp (Ct/kWh)</t>
  </si>
  <si>
    <t>bis 100 kWp (Ct/kWh)</t>
  </si>
  <si>
    <t>Nichtwohngebäude im Außenbereich, Dachanlagen und Anlagen auf Freiflächen bis 100 kWp (Ct/kWh)</t>
  </si>
  <si>
    <t>Nichtwohngebäude im Außenbereich, Dachanlagen und Anlagen auf Freiflächen</t>
  </si>
  <si>
    <t>- bis 750 kW</t>
  </si>
  <si>
    <t>- bis 300 kW</t>
  </si>
  <si>
    <t>Vergütungssatz (Cent je kWh)</t>
  </si>
  <si>
    <t>bis 300 kWp (Ct/kWh)</t>
  </si>
  <si>
    <t>bis 750 kWp (Ct/kWh)</t>
  </si>
  <si>
    <t xml:space="preserve">Freifl. bis 100 kW </t>
  </si>
  <si>
    <t>10 kW</t>
  </si>
  <si>
    <t>40 kW</t>
  </si>
  <si>
    <t>100 kW</t>
  </si>
  <si>
    <t>300 kW</t>
  </si>
  <si>
    <t>750 kW</t>
  </si>
  <si>
    <t>ab 01.08.22 abgeschafft</t>
  </si>
  <si>
    <t>EEG 2023 (Teileinspeisung)</t>
  </si>
  <si>
    <t>EEG 2023 (Volleinspeisung)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</si>
</sst>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_ ;[Red]\-#,##0.00\ "/>
    <numFmt numFmtId="166" formatCode="#,##0.00\ &quot;€&quot;"/>
    <numFmt numFmtId="167" formatCode="[$-407]mmmm\ 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1" fillId="0" borderId="0" applyFon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2" fillId="0" borderId="0"/>
    <xf numFmtId="164" fontId="1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8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/>
    <xf numFmtId="0" fontId="4" fillId="0" borderId="0" xfId="2" applyFont="1" applyAlignment="1">
      <alignment wrapText="1"/>
    </xf>
    <xf numFmtId="0" fontId="4" fillId="0" borderId="0" xfId="2" quotePrefix="1" applyFont="1"/>
    <xf numFmtId="4" fontId="4" fillId="0" borderId="0" xfId="2" applyNumberFormat="1" applyFont="1"/>
    <xf numFmtId="0" fontId="10" fillId="0" borderId="0" xfId="0" applyFont="1"/>
    <xf numFmtId="165" fontId="5" fillId="0" borderId="0" xfId="2" applyNumberFormat="1" applyFont="1"/>
    <xf numFmtId="4" fontId="9" fillId="0" borderId="0" xfId="0" applyNumberFormat="1" applyFont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2" applyFont="1" applyAlignment="1" applyProtection="1">
      <alignment wrapText="1"/>
      <protection locked="0"/>
    </xf>
    <xf numFmtId="3" fontId="4" fillId="0" borderId="0" xfId="2" applyNumberFormat="1" applyFont="1" applyProtection="1">
      <protection locked="0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166" fontId="6" fillId="0" borderId="0" xfId="0" applyNumberFormat="1" applyFont="1"/>
    <xf numFmtId="166" fontId="5" fillId="0" borderId="0" xfId="0" applyNumberFormat="1" applyFont="1"/>
    <xf numFmtId="0" fontId="6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12" fillId="0" borderId="0" xfId="0" applyFont="1"/>
    <xf numFmtId="17" fontId="12" fillId="0" borderId="1" xfId="0" applyNumberFormat="1" applyFont="1" applyBorder="1"/>
    <xf numFmtId="0" fontId="4" fillId="0" borderId="0" xfId="0" applyFont="1" applyAlignment="1" applyProtection="1">
      <alignment horizontal="center"/>
      <protection locked="0"/>
    </xf>
    <xf numFmtId="4" fontId="5" fillId="2" borderId="0" xfId="2" applyNumberFormat="1" applyFont="1" applyFill="1"/>
    <xf numFmtId="4" fontId="5" fillId="3" borderId="1" xfId="2" applyNumberFormat="1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16" fillId="0" borderId="0" xfId="0" applyFont="1"/>
    <xf numFmtId="2" fontId="12" fillId="0" borderId="1" xfId="0" applyNumberFormat="1" applyFont="1" applyBorder="1"/>
    <xf numFmtId="0" fontId="17" fillId="0" borderId="1" xfId="0" applyFont="1" applyBorder="1"/>
    <xf numFmtId="4" fontId="4" fillId="0" borderId="0" xfId="0" applyNumberFormat="1" applyFont="1" applyProtection="1">
      <protection locked="0"/>
    </xf>
    <xf numFmtId="0" fontId="4" fillId="0" borderId="0" xfId="2" applyFont="1" applyAlignment="1">
      <alignment horizontal="left"/>
    </xf>
    <xf numFmtId="0" fontId="4" fillId="0" borderId="0" xfId="0" quotePrefix="1" applyFont="1" applyProtection="1">
      <protection locked="0"/>
    </xf>
    <xf numFmtId="0" fontId="4" fillId="0" borderId="0" xfId="0" quotePrefix="1" applyFont="1"/>
    <xf numFmtId="167" fontId="13" fillId="3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Border="1"/>
    <xf numFmtId="0" fontId="0" fillId="0" borderId="1" xfId="0" applyBorder="1"/>
    <xf numFmtId="0" fontId="19" fillId="0" borderId="0" xfId="0" applyFont="1"/>
    <xf numFmtId="0" fontId="18" fillId="0" borderId="0" xfId="2" quotePrefix="1" applyFont="1" applyAlignment="1">
      <alignment horizontal="right" vertical="center"/>
    </xf>
    <xf numFmtId="0" fontId="18" fillId="0" borderId="0" xfId="0" quotePrefix="1" applyFont="1" applyAlignment="1" applyProtection="1">
      <alignment horizontal="right" vertical="center"/>
      <protection locked="0"/>
    </xf>
    <xf numFmtId="0" fontId="15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/>
  </cellXfs>
  <cellStyles count="8">
    <cellStyle name="Komma 2" xfId="6" xr:uid="{ABDA5F33-4F8B-4947-8FA8-7730166F5CF7}"/>
    <cellStyle name="Prozent 2" xfId="1" xr:uid="{00000000-0005-0000-0000-000000000000}"/>
    <cellStyle name="Standard" xfId="0" builtinId="0"/>
    <cellStyle name="Standard 2" xfId="2" xr:uid="{00000000-0005-0000-0000-000002000000}"/>
    <cellStyle name="Standard 2 2" xfId="3" xr:uid="{00000000-0005-0000-0000-000003000000}"/>
    <cellStyle name="Standard 3" xfId="4" xr:uid="{00000000-0005-0000-0000-000004000000}"/>
    <cellStyle name="Standard 3 2" xfId="5" xr:uid="{00000000-0005-0000-0000-000005000000}"/>
    <cellStyle name="Standard 3 3" xfId="7" xr:uid="{A0396D62-C56F-454B-AEAC-8211C6D1DD28}"/>
  </cellStyles>
  <dxfs count="2">
    <dxf>
      <font>
        <b/>
        <i val="0"/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0</xdr:rowOff>
    </xdr:from>
    <xdr:to>
      <xdr:col>9</xdr:col>
      <xdr:colOff>28575</xdr:colOff>
      <xdr:row>10</xdr:row>
      <xdr:rowOff>133350</xdr:rowOff>
    </xdr:to>
    <xdr:pic>
      <xdr:nvPicPr>
        <xdr:cNvPr id="1050" name="Grafik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0"/>
          <a:ext cx="41624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48"/>
  <sheetViews>
    <sheetView showGridLines="0" tabSelected="1" topLeftCell="A12" zoomScaleNormal="100" workbookViewId="0">
      <selection activeCell="D16" sqref="D16"/>
    </sheetView>
  </sheetViews>
  <sheetFormatPr baseColWidth="10" defaultRowHeight="15" x14ac:dyDescent="0.2"/>
  <cols>
    <col min="1" max="1" width="20.5703125" style="13" customWidth="1"/>
    <col min="2" max="2" width="17.140625" style="13" customWidth="1"/>
    <col min="3" max="3" width="20.7109375" style="13" bestFit="1" customWidth="1"/>
    <col min="4" max="4" width="22.5703125" style="13" customWidth="1"/>
    <col min="5" max="5" width="17.140625" style="13" customWidth="1"/>
    <col min="6" max="7" width="17.85546875" style="13" customWidth="1"/>
    <col min="8" max="8" width="18" style="13" customWidth="1"/>
    <col min="9" max="9" width="21" style="13" customWidth="1"/>
    <col min="10" max="10" width="2.85546875" style="13" customWidth="1"/>
    <col min="11" max="11" width="19.7109375" style="13" customWidth="1"/>
    <col min="12" max="12" width="29.5703125" style="13" customWidth="1"/>
    <col min="13" max="13" width="14.7109375" style="13" customWidth="1"/>
    <col min="14" max="14" width="13.5703125" style="13" customWidth="1"/>
    <col min="15" max="16384" width="11.42578125" style="13"/>
  </cols>
  <sheetData>
    <row r="1" spans="1:12" s="1" customFormat="1" ht="18.75" thickBot="1" x14ac:dyDescent="0.3">
      <c r="A1" s="51" t="s">
        <v>23</v>
      </c>
      <c r="B1" s="52"/>
      <c r="C1" s="52"/>
      <c r="D1" s="44" t="s">
        <v>51</v>
      </c>
    </row>
    <row r="2" spans="1:12" s="3" customFormat="1" ht="15.75" x14ac:dyDescent="0.25">
      <c r="A2" s="2"/>
    </row>
    <row r="3" spans="1:12" s="3" customFormat="1" ht="15.75" x14ac:dyDescent="0.25">
      <c r="A3" s="4" t="s">
        <v>11</v>
      </c>
      <c r="B3" s="4"/>
      <c r="C3" s="4"/>
    </row>
    <row r="4" spans="1:12" s="3" customFormat="1" ht="15.75" customHeight="1" x14ac:dyDescent="0.25">
      <c r="A4" s="4"/>
    </row>
    <row r="5" spans="1:12" ht="15.75" x14ac:dyDescent="0.25">
      <c r="A5" s="3" t="s">
        <v>41</v>
      </c>
      <c r="B5" s="3"/>
      <c r="C5" s="41"/>
      <c r="E5" s="3"/>
      <c r="F5" s="5"/>
      <c r="G5" s="21"/>
    </row>
    <row r="6" spans="1:12" ht="15.75" x14ac:dyDescent="0.25">
      <c r="A6" s="6" t="s">
        <v>21</v>
      </c>
      <c r="B6" s="7">
        <f>LOOKUP(D1,Vergütung!B2:B106,Vergütung!C2:C106)</f>
        <v>8.1999999999999993</v>
      </c>
      <c r="C6" s="43"/>
      <c r="D6" s="3"/>
      <c r="E6" s="3"/>
      <c r="F6" s="3"/>
      <c r="G6" s="22"/>
    </row>
    <row r="7" spans="1:12" ht="15.75" customHeight="1" x14ac:dyDescent="0.25">
      <c r="A7" s="6" t="s">
        <v>22</v>
      </c>
      <c r="B7" s="7">
        <f>LOOKUP(D1,Vergütung!B2:B106,Vergütung!D2:D106)</f>
        <v>7.1</v>
      </c>
      <c r="F7" s="3"/>
      <c r="G7" s="22"/>
    </row>
    <row r="8" spans="1:12" ht="15.75" x14ac:dyDescent="0.25">
      <c r="A8" s="6" t="s">
        <v>33</v>
      </c>
      <c r="B8" s="7">
        <f>LOOKUP(D1,Vergütung!B2:B106,Vergütung!E2:E106)</f>
        <v>5.8</v>
      </c>
      <c r="C8" s="6" t="s">
        <v>44</v>
      </c>
      <c r="D8" s="7">
        <f>LOOKUP(D1,Vergütung!B2:B106,Vergütung!F2:F106)</f>
        <v>0</v>
      </c>
      <c r="G8" s="22"/>
      <c r="L8" s="13" t="s">
        <v>27</v>
      </c>
    </row>
    <row r="9" spans="1:12" ht="15.75" x14ac:dyDescent="0.25">
      <c r="A9" s="42" t="s">
        <v>40</v>
      </c>
      <c r="B9" s="7">
        <f>LOOKUP(D1,Vergütung!B2:B106,Vergütung!G2:G106)</f>
        <v>6.2</v>
      </c>
      <c r="D9" s="47" t="s">
        <v>38</v>
      </c>
      <c r="E9" s="3"/>
      <c r="F9" s="3"/>
      <c r="G9" s="14"/>
      <c r="L9" s="13" t="s">
        <v>28</v>
      </c>
    </row>
    <row r="10" spans="1:12" ht="15.75" x14ac:dyDescent="0.25">
      <c r="A10" s="42" t="s">
        <v>39</v>
      </c>
      <c r="B10" s="7">
        <f>LOOKUP(D1,Vergütung!B2:B106,Vergütung!H2:H106)</f>
        <v>6.2</v>
      </c>
      <c r="C10" s="3"/>
      <c r="D10" s="3"/>
      <c r="E10" s="3"/>
      <c r="F10" s="3"/>
      <c r="G10" s="22"/>
    </row>
    <row r="11" spans="1:12" ht="15.75" x14ac:dyDescent="0.25">
      <c r="C11" s="3"/>
      <c r="D11" s="3"/>
      <c r="E11" s="3"/>
      <c r="F11" s="3"/>
      <c r="G11" s="22"/>
    </row>
    <row r="12" spans="1:12" ht="15.75" x14ac:dyDescent="0.25">
      <c r="A12" s="3"/>
      <c r="B12" s="3"/>
      <c r="C12" s="3"/>
      <c r="D12" s="8"/>
      <c r="E12" s="9"/>
      <c r="F12" s="10"/>
      <c r="G12" s="14"/>
    </row>
    <row r="13" spans="1:12" ht="15.75" x14ac:dyDescent="0.25">
      <c r="A13" s="2" t="s">
        <v>0</v>
      </c>
      <c r="B13" s="4"/>
      <c r="C13" s="3"/>
      <c r="D13" s="3"/>
      <c r="E13" s="3"/>
      <c r="F13" s="53" t="s">
        <v>32</v>
      </c>
      <c r="G13" s="54"/>
      <c r="H13" s="54"/>
      <c r="I13" s="54"/>
    </row>
    <row r="14" spans="1:12" ht="15.75" customHeight="1" x14ac:dyDescent="0.2">
      <c r="A14" s="3"/>
      <c r="B14" s="3"/>
      <c r="C14" s="3"/>
      <c r="D14" s="3"/>
      <c r="E14" s="3"/>
      <c r="F14" s="3"/>
    </row>
    <row r="15" spans="1:12" ht="15.75" customHeight="1" x14ac:dyDescent="0.25">
      <c r="A15" s="4" t="s">
        <v>12</v>
      </c>
      <c r="B15" s="3"/>
      <c r="C15" s="3"/>
      <c r="D15" s="31">
        <v>30</v>
      </c>
      <c r="E15" s="3"/>
      <c r="F15" s="4" t="s">
        <v>26</v>
      </c>
      <c r="H15" s="36" t="s">
        <v>28</v>
      </c>
      <c r="L15" s="15"/>
    </row>
    <row r="16" spans="1:12" ht="15.75" x14ac:dyDescent="0.25">
      <c r="A16" s="4" t="s">
        <v>13</v>
      </c>
      <c r="B16" s="3"/>
      <c r="C16" s="3"/>
      <c r="D16" s="30">
        <f>IF(H17="Ja",D8,(B6*L17+B7*L18+B8*L19+D8*L22+B9*L20+B10*L21)/D15)+H19</f>
        <v>7.4666666666666668</v>
      </c>
      <c r="E16" s="3"/>
      <c r="F16" s="4" t="s">
        <v>29</v>
      </c>
      <c r="H16" s="35">
        <v>0.38</v>
      </c>
      <c r="L16" s="15"/>
    </row>
    <row r="17" spans="1:12" ht="15.75" x14ac:dyDescent="0.25">
      <c r="A17" s="4" t="s">
        <v>24</v>
      </c>
      <c r="B17" s="3"/>
      <c r="C17" s="3"/>
      <c r="D17" s="31">
        <v>83.9</v>
      </c>
      <c r="E17" s="3"/>
      <c r="F17" s="4" t="s">
        <v>31</v>
      </c>
      <c r="H17" s="36" t="s">
        <v>28</v>
      </c>
      <c r="K17" s="48" t="s">
        <v>45</v>
      </c>
      <c r="L17" s="16">
        <f>IF(D15&lt;=10,D15,10)</f>
        <v>10</v>
      </c>
    </row>
    <row r="18" spans="1:12" ht="15.75" x14ac:dyDescent="0.25">
      <c r="A18" s="4" t="s">
        <v>8</v>
      </c>
      <c r="B18" s="3"/>
      <c r="C18" s="3"/>
      <c r="D18" s="32">
        <v>900.37</v>
      </c>
      <c r="E18" s="3"/>
      <c r="K18" s="48" t="s">
        <v>46</v>
      </c>
      <c r="L18" s="16">
        <f>IF(D15&lt;10,0,IF(D15&lt;=40,D15-10,30))</f>
        <v>20</v>
      </c>
    </row>
    <row r="19" spans="1:12" ht="15.75" x14ac:dyDescent="0.25">
      <c r="A19" s="4" t="s">
        <v>20</v>
      </c>
      <c r="B19" s="3"/>
      <c r="C19" s="3"/>
      <c r="D19" s="33">
        <v>700</v>
      </c>
      <c r="E19" s="3"/>
      <c r="F19" s="4"/>
      <c r="H19" s="37"/>
      <c r="K19" s="48" t="s">
        <v>47</v>
      </c>
      <c r="L19" s="16">
        <f>IF(D15&lt;40,0,IF(D15&lt;=100,D15-40,60))</f>
        <v>0</v>
      </c>
    </row>
    <row r="20" spans="1:12" ht="15.75" x14ac:dyDescent="0.25">
      <c r="A20" s="4" t="s">
        <v>9</v>
      </c>
      <c r="B20" s="3"/>
      <c r="C20" s="3"/>
      <c r="D20" s="34">
        <v>10</v>
      </c>
      <c r="E20" s="3"/>
      <c r="K20" s="49" t="s">
        <v>48</v>
      </c>
      <c r="L20" s="13">
        <f>IF(D15&lt;100,0,IF(D15&lt;=300,D15-100,200))</f>
        <v>0</v>
      </c>
    </row>
    <row r="21" spans="1:12" ht="15.75" x14ac:dyDescent="0.25">
      <c r="A21" s="4" t="s">
        <v>1</v>
      </c>
      <c r="B21" s="3"/>
      <c r="C21" s="3"/>
      <c r="D21" s="35">
        <v>1.5</v>
      </c>
      <c r="E21" s="3"/>
      <c r="F21" s="3"/>
      <c r="H21" s="29"/>
      <c r="I21" s="14"/>
      <c r="K21" s="49" t="s">
        <v>49</v>
      </c>
      <c r="L21" s="13">
        <f>IF(D15&lt;300,0,IF(D15&lt;=700,D15-300,450))</f>
        <v>0</v>
      </c>
    </row>
    <row r="22" spans="1:12" ht="15.75" x14ac:dyDescent="0.25">
      <c r="A22" s="4" t="s">
        <v>10</v>
      </c>
      <c r="B22" s="3"/>
      <c r="C22" s="3"/>
      <c r="D22" s="11">
        <f>D15*D19</f>
        <v>21000</v>
      </c>
      <c r="E22" s="3"/>
      <c r="F22" s="4"/>
      <c r="H22" s="29"/>
      <c r="I22" s="14"/>
      <c r="L22" s="40"/>
    </row>
    <row r="23" spans="1:12" ht="15.75" x14ac:dyDescent="0.25">
      <c r="A23" s="4" t="s">
        <v>14</v>
      </c>
      <c r="B23" s="3"/>
      <c r="C23" s="3"/>
      <c r="D23" s="33">
        <v>0</v>
      </c>
      <c r="E23" s="3"/>
      <c r="F23" s="55" t="s">
        <v>30</v>
      </c>
      <c r="G23" s="56"/>
      <c r="H23" s="56"/>
      <c r="I23" s="14">
        <v>2.6</v>
      </c>
    </row>
    <row r="24" spans="1:12" ht="15.75" x14ac:dyDescent="0.25">
      <c r="A24" s="4" t="s">
        <v>15</v>
      </c>
      <c r="B24" s="3"/>
      <c r="C24" s="3"/>
      <c r="D24" s="11">
        <f>D22-D23</f>
        <v>21000</v>
      </c>
      <c r="E24" s="3"/>
      <c r="F24" s="50" t="s">
        <v>50</v>
      </c>
    </row>
    <row r="25" spans="1:12" s="3" customFormat="1" x14ac:dyDescent="0.2"/>
    <row r="26" spans="1:12" s="24" customFormat="1" ht="31.5" x14ac:dyDescent="0.2">
      <c r="A26" s="25" t="s">
        <v>2</v>
      </c>
      <c r="B26" s="26" t="s">
        <v>16</v>
      </c>
      <c r="C26" s="26" t="s">
        <v>3</v>
      </c>
      <c r="D26" s="26" t="s">
        <v>4</v>
      </c>
      <c r="E26" s="26" t="s">
        <v>5</v>
      </c>
      <c r="F26" s="26" t="s">
        <v>6</v>
      </c>
      <c r="G26" s="26" t="s">
        <v>17</v>
      </c>
      <c r="H26" s="26" t="s">
        <v>18</v>
      </c>
      <c r="I26" s="26" t="s">
        <v>19</v>
      </c>
      <c r="J26" s="23"/>
    </row>
    <row r="27" spans="1:12" s="3" customFormat="1" x14ac:dyDescent="0.2">
      <c r="A27" s="12">
        <v>1</v>
      </c>
      <c r="B27" s="17">
        <f>((D15*D16*D18/100*1)*(1-(D17/100)))+(D17/100*D18*D15*(H16-(IF(D15&lt;10,0,I23))/100))</f>
        <v>8347.1682034000005</v>
      </c>
      <c r="C27" s="18">
        <f>IF($D$20&gt;0,$D$24/$D$20,0)</f>
        <v>2100</v>
      </c>
      <c r="D27" s="17">
        <f>D24/100*$D$21</f>
        <v>315</v>
      </c>
      <c r="E27" s="18">
        <f>SUM(C27:D27)</f>
        <v>2415</v>
      </c>
      <c r="F27" s="18">
        <f>D24-C27</f>
        <v>18900</v>
      </c>
      <c r="G27" s="18">
        <f>B27-E27</f>
        <v>5932.1682034000005</v>
      </c>
      <c r="H27" s="18">
        <f>G27/12</f>
        <v>494.34735028333336</v>
      </c>
      <c r="I27" s="18">
        <f>G27</f>
        <v>5932.1682034000005</v>
      </c>
    </row>
    <row r="28" spans="1:12" s="3" customFormat="1" x14ac:dyDescent="0.2">
      <c r="A28" s="12">
        <v>2</v>
      </c>
      <c r="B28" s="17">
        <f>D15*D16*D18*(1-(D17/100))/100*1+(D17/100*D18*D15*(H16-(IF(D15&lt;10,0,I23))/100))</f>
        <v>8347.1682034000005</v>
      </c>
      <c r="C28" s="18">
        <f>IF($D$20&gt;1,$D$24/$D$20,0)</f>
        <v>2100</v>
      </c>
      <c r="D28" s="17">
        <f>F27/100*$D$21</f>
        <v>283.5</v>
      </c>
      <c r="E28" s="18">
        <f>SUM(C28:D28)</f>
        <v>2383.5</v>
      </c>
      <c r="F28" s="18">
        <f t="shared" ref="F28:F46" si="0">F27-C28</f>
        <v>16800</v>
      </c>
      <c r="G28" s="18">
        <f>B28-E28</f>
        <v>5963.6682034000005</v>
      </c>
      <c r="H28" s="18">
        <f t="shared" ref="H28:H46" si="1">G28/12</f>
        <v>496.97235028333336</v>
      </c>
      <c r="I28" s="18">
        <f>G27+G28</f>
        <v>11895.836406800001</v>
      </c>
    </row>
    <row r="29" spans="1:12" s="3" customFormat="1" x14ac:dyDescent="0.2">
      <c r="A29" s="12">
        <v>3</v>
      </c>
      <c r="B29" s="17">
        <f>D15*D16*D18*(1-(D17/100))/100*1+(D17/100*D18*D15*(H16-(IF(D15&lt;10,0,I23))/100))</f>
        <v>8347.1682034000005</v>
      </c>
      <c r="C29" s="18">
        <f>IF($D$20&gt;2,$D$24/$D$20,0)</f>
        <v>2100</v>
      </c>
      <c r="D29" s="17">
        <f t="shared" ref="D29:D46" si="2">F28/100*$D$21</f>
        <v>252</v>
      </c>
      <c r="E29" s="18">
        <f>SUM(C29:D29)</f>
        <v>2352</v>
      </c>
      <c r="F29" s="18">
        <f t="shared" si="0"/>
        <v>14700</v>
      </c>
      <c r="G29" s="18">
        <f>B29-E29</f>
        <v>5995.1682034000005</v>
      </c>
      <c r="H29" s="18">
        <f t="shared" si="1"/>
        <v>499.59735028333336</v>
      </c>
      <c r="I29" s="18">
        <f>G27+G28+G29</f>
        <v>17891.004610200001</v>
      </c>
    </row>
    <row r="30" spans="1:12" s="3" customFormat="1" x14ac:dyDescent="0.2">
      <c r="A30" s="12">
        <v>4</v>
      </c>
      <c r="B30" s="17">
        <f>D15*D16*D18*(1-(D17/100))/100*0.98+(D17/100*D18*D15*(H16-(IF(D15&lt;10,0,I23))/100))</f>
        <v>8340.6740146640004</v>
      </c>
      <c r="C30" s="18">
        <f>IF($D$20&gt;3,$D$24/$D$20,0)</f>
        <v>2100</v>
      </c>
      <c r="D30" s="17">
        <f t="shared" si="2"/>
        <v>220.5</v>
      </c>
      <c r="E30" s="18">
        <f t="shared" ref="E30:E46" si="3">SUM(C30:D30)</f>
        <v>2320.5</v>
      </c>
      <c r="F30" s="18">
        <f t="shared" si="0"/>
        <v>12600</v>
      </c>
      <c r="G30" s="18">
        <f t="shared" ref="G30:G46" si="4">B30-E30</f>
        <v>6020.1740146640004</v>
      </c>
      <c r="H30" s="18">
        <f t="shared" si="1"/>
        <v>501.68116788866672</v>
      </c>
      <c r="I30" s="18">
        <f>G27+G28+G29+G30</f>
        <v>23911.178624864002</v>
      </c>
    </row>
    <row r="31" spans="1:12" s="3" customFormat="1" x14ac:dyDescent="0.2">
      <c r="A31" s="12">
        <v>5</v>
      </c>
      <c r="B31" s="17">
        <f>D15*D16*D18*(1-(D17/100))/100*0.98+(D17/100*D18*D15*(H16-(IF(D15&lt;10,0,I23))/100))</f>
        <v>8340.6740146640004</v>
      </c>
      <c r="C31" s="18">
        <f>IF($D$20&gt;4,$D$24/$D$20,0)</f>
        <v>2100</v>
      </c>
      <c r="D31" s="17">
        <f t="shared" si="2"/>
        <v>189</v>
      </c>
      <c r="E31" s="18">
        <f t="shared" si="3"/>
        <v>2289</v>
      </c>
      <c r="F31" s="18">
        <f t="shared" si="0"/>
        <v>10500</v>
      </c>
      <c r="G31" s="18">
        <f t="shared" si="4"/>
        <v>6051.6740146640004</v>
      </c>
      <c r="H31" s="18">
        <f t="shared" si="1"/>
        <v>504.30616788866672</v>
      </c>
      <c r="I31" s="18">
        <f>G27+G28+G29+G30+G31</f>
        <v>29962.852639528002</v>
      </c>
    </row>
    <row r="32" spans="1:12" s="3" customFormat="1" x14ac:dyDescent="0.2">
      <c r="A32" s="12">
        <v>6</v>
      </c>
      <c r="B32" s="17">
        <f>D15*D16*D18*(1-(D17/100))/100*0.98+(D17/100*D18*D15*(H16-(IF(D15&lt;10,0,I23))/100))</f>
        <v>8340.6740146640004</v>
      </c>
      <c r="C32" s="18">
        <f>IF($D$20&gt;5,$D$24/$D$20,0)</f>
        <v>2100</v>
      </c>
      <c r="D32" s="17">
        <f t="shared" si="2"/>
        <v>157.5</v>
      </c>
      <c r="E32" s="18">
        <f t="shared" si="3"/>
        <v>2257.5</v>
      </c>
      <c r="F32" s="18">
        <f t="shared" si="0"/>
        <v>8400</v>
      </c>
      <c r="G32" s="18">
        <f t="shared" si="4"/>
        <v>6083.1740146640004</v>
      </c>
      <c r="H32" s="18">
        <f t="shared" si="1"/>
        <v>506.93116788866672</v>
      </c>
      <c r="I32" s="18">
        <f>G27+G28+G29+G30+G31+G32</f>
        <v>36046.026654191999</v>
      </c>
    </row>
    <row r="33" spans="1:9" s="3" customFormat="1" x14ac:dyDescent="0.2">
      <c r="A33" s="12">
        <v>7</v>
      </c>
      <c r="B33" s="17">
        <f>D15*D16*D18*(1-(D17/100))/100*0.97+(D17/100*D18*D15*(H16-(IF(D15&lt;10,0,I23))/100))</f>
        <v>8337.4269202960004</v>
      </c>
      <c r="C33" s="18">
        <f>IF($D$20&gt;6,$D$24/$D$20,0)</f>
        <v>2100</v>
      </c>
      <c r="D33" s="17">
        <f t="shared" si="2"/>
        <v>126</v>
      </c>
      <c r="E33" s="18">
        <f t="shared" si="3"/>
        <v>2226</v>
      </c>
      <c r="F33" s="18">
        <f t="shared" si="0"/>
        <v>6300</v>
      </c>
      <c r="G33" s="18">
        <f t="shared" si="4"/>
        <v>6111.4269202960004</v>
      </c>
      <c r="H33" s="18">
        <f t="shared" si="1"/>
        <v>509.28557669133335</v>
      </c>
      <c r="I33" s="18">
        <f>G27+G28+G29+G30+G31+G32+G33</f>
        <v>42157.453574487998</v>
      </c>
    </row>
    <row r="34" spans="1:9" s="3" customFormat="1" x14ac:dyDescent="0.2">
      <c r="A34" s="12">
        <v>8</v>
      </c>
      <c r="B34" s="17">
        <f>D15*D16*D18*(1-(D17/100))/100*0.97+(D17/100*D18*D15*(H16-(IF(D15&lt;10,0,I23))/100))</f>
        <v>8337.4269202960004</v>
      </c>
      <c r="C34" s="18">
        <f>IF($D$20&gt;7,$D$24/$D$20,0)</f>
        <v>2100</v>
      </c>
      <c r="D34" s="17">
        <f t="shared" si="2"/>
        <v>94.5</v>
      </c>
      <c r="E34" s="18">
        <f t="shared" si="3"/>
        <v>2194.5</v>
      </c>
      <c r="F34" s="18">
        <f t="shared" si="0"/>
        <v>4200</v>
      </c>
      <c r="G34" s="18">
        <f t="shared" si="4"/>
        <v>6142.9269202960004</v>
      </c>
      <c r="H34" s="18">
        <f t="shared" si="1"/>
        <v>511.91057669133335</v>
      </c>
      <c r="I34" s="18">
        <f>G27+G28+G29+G30+G31+G32+G33+G34</f>
        <v>48300.380494783996</v>
      </c>
    </row>
    <row r="35" spans="1:9" s="3" customFormat="1" x14ac:dyDescent="0.2">
      <c r="A35" s="12">
        <v>9</v>
      </c>
      <c r="B35" s="17">
        <f>D15*D16*D18*(1-(D17/100))/100*0.97+(D17/100*D18*D15*(H16-(IF(D15&lt;10,0,I23))/100))</f>
        <v>8337.4269202960004</v>
      </c>
      <c r="C35" s="18">
        <f>IF($D$20&gt;8,$D$24/$D$20,0)</f>
        <v>2100</v>
      </c>
      <c r="D35" s="17">
        <f t="shared" si="2"/>
        <v>63</v>
      </c>
      <c r="E35" s="18">
        <f t="shared" si="3"/>
        <v>2163</v>
      </c>
      <c r="F35" s="18">
        <f t="shared" si="0"/>
        <v>2100</v>
      </c>
      <c r="G35" s="18">
        <f t="shared" si="4"/>
        <v>6174.4269202960004</v>
      </c>
      <c r="H35" s="18">
        <f t="shared" si="1"/>
        <v>514.5355766913334</v>
      </c>
      <c r="I35" s="18">
        <f>G27+G28+G29+G30+G31+G32+G33+G34+G35</f>
        <v>54474.807415079995</v>
      </c>
    </row>
    <row r="36" spans="1:9" s="3" customFormat="1" x14ac:dyDescent="0.2">
      <c r="A36" s="12">
        <v>10</v>
      </c>
      <c r="B36" s="17">
        <f>D15*D16*D18*(1-(D17/100))/100*0.96+(D17/100*D18*D15*(H16-(IF(D15&lt;10,0,I23))/100))</f>
        <v>8334.1798259280004</v>
      </c>
      <c r="C36" s="18">
        <f>IF($D$20&gt;9,$D$24/$D$20,0)</f>
        <v>2100</v>
      </c>
      <c r="D36" s="17">
        <f t="shared" si="2"/>
        <v>31.5</v>
      </c>
      <c r="E36" s="18">
        <f t="shared" si="3"/>
        <v>2131.5</v>
      </c>
      <c r="F36" s="18">
        <f t="shared" si="0"/>
        <v>0</v>
      </c>
      <c r="G36" s="18">
        <f t="shared" si="4"/>
        <v>6202.6798259280004</v>
      </c>
      <c r="H36" s="18">
        <f t="shared" si="1"/>
        <v>516.88998549400003</v>
      </c>
      <c r="I36" s="18">
        <f>G27+G28+G29+G30+G31+G32+G33+G34+G35+G36</f>
        <v>60677.487241007999</v>
      </c>
    </row>
    <row r="37" spans="1:9" s="3" customFormat="1" x14ac:dyDescent="0.2">
      <c r="A37" s="12">
        <v>11</v>
      </c>
      <c r="B37" s="17">
        <f>D15*D16*D18*(1-(D17/100))/100*0.96+(D17/100*D18*D15*(H16-(IF(D15&lt;10,0,I23))/100))</f>
        <v>8334.1798259280004</v>
      </c>
      <c r="C37" s="18">
        <f>IF($D$20&gt;10,$D$24/$D$20,0)</f>
        <v>0</v>
      </c>
      <c r="D37" s="17">
        <f t="shared" si="2"/>
        <v>0</v>
      </c>
      <c r="E37" s="18">
        <f t="shared" si="3"/>
        <v>0</v>
      </c>
      <c r="F37" s="18">
        <f t="shared" si="0"/>
        <v>0</v>
      </c>
      <c r="G37" s="18">
        <f t="shared" si="4"/>
        <v>8334.1798259280004</v>
      </c>
      <c r="H37" s="18">
        <f t="shared" si="1"/>
        <v>694.51498549400003</v>
      </c>
      <c r="I37" s="18">
        <f>G27+G28+G29+G30+G31+G32+G33+G34+G35+G36+G37</f>
        <v>69011.667066936003</v>
      </c>
    </row>
    <row r="38" spans="1:9" s="3" customFormat="1" x14ac:dyDescent="0.2">
      <c r="A38" s="12">
        <v>12</v>
      </c>
      <c r="B38" s="17">
        <f>D15*D16*D18*(1-(D17/100))/100*0.96+(D17/100*D18*D15*(H16-(IF(D15&lt;10,0,I23))/100))</f>
        <v>8334.1798259280004</v>
      </c>
      <c r="C38" s="18">
        <f>IF($D$20&gt;11,$D$24/$D$20,0)</f>
        <v>0</v>
      </c>
      <c r="D38" s="17">
        <f t="shared" si="2"/>
        <v>0</v>
      </c>
      <c r="E38" s="18">
        <f t="shared" si="3"/>
        <v>0</v>
      </c>
      <c r="F38" s="18">
        <f t="shared" si="0"/>
        <v>0</v>
      </c>
      <c r="G38" s="18">
        <f t="shared" si="4"/>
        <v>8334.1798259280004</v>
      </c>
      <c r="H38" s="18">
        <f t="shared" si="1"/>
        <v>694.51498549400003</v>
      </c>
      <c r="I38" s="18">
        <f>G27+G28+G29+G30+G31+G32+G33+G34+G35+G36+G37+G38</f>
        <v>77345.846892864007</v>
      </c>
    </row>
    <row r="39" spans="1:9" s="3" customFormat="1" x14ac:dyDescent="0.2">
      <c r="A39" s="12">
        <v>13</v>
      </c>
      <c r="B39" s="17">
        <f>D15*D16*D18*(1-(D17/100))/100*0.95+(D17/100*D18*D15*(H16-(IF(D15&lt;10,0,I23))/100))</f>
        <v>8330.9327315600003</v>
      </c>
      <c r="C39" s="18">
        <f>IF($D$20&gt;12,$D$24/$D$20,0)</f>
        <v>0</v>
      </c>
      <c r="D39" s="17">
        <f t="shared" si="2"/>
        <v>0</v>
      </c>
      <c r="E39" s="18">
        <f t="shared" si="3"/>
        <v>0</v>
      </c>
      <c r="F39" s="18">
        <f t="shared" si="0"/>
        <v>0</v>
      </c>
      <c r="G39" s="18">
        <f t="shared" si="4"/>
        <v>8330.9327315600003</v>
      </c>
      <c r="H39" s="18">
        <f t="shared" si="1"/>
        <v>694.24439429666666</v>
      </c>
      <c r="I39" s="18">
        <f>G27+G28+G29+G30+G31+G32+G33+G34+G35+G36+G37+G38+G39</f>
        <v>85676.779624424002</v>
      </c>
    </row>
    <row r="40" spans="1:9" s="3" customFormat="1" x14ac:dyDescent="0.2">
      <c r="A40" s="12">
        <v>14</v>
      </c>
      <c r="B40" s="17">
        <f>D15*D16*D18*(1-(D17/100))/100*0.95+(D17/100*D18*D15*(H16-(IF(D15&lt;10,0,I23))/100))</f>
        <v>8330.9327315600003</v>
      </c>
      <c r="C40" s="18">
        <f>IF($D$20&gt;13,$D$24/$D$20,0)</f>
        <v>0</v>
      </c>
      <c r="D40" s="17">
        <f t="shared" si="2"/>
        <v>0</v>
      </c>
      <c r="E40" s="18">
        <f t="shared" si="3"/>
        <v>0</v>
      </c>
      <c r="F40" s="18">
        <f t="shared" si="0"/>
        <v>0</v>
      </c>
      <c r="G40" s="18">
        <f t="shared" si="4"/>
        <v>8330.9327315600003</v>
      </c>
      <c r="H40" s="18">
        <f t="shared" si="1"/>
        <v>694.24439429666666</v>
      </c>
      <c r="I40" s="18">
        <f>G27+G28+G29+G30+G31+G32+G33+G34+G35+G36+G37+G38+G39+G40</f>
        <v>94007.712355983997</v>
      </c>
    </row>
    <row r="41" spans="1:9" s="3" customFormat="1" x14ac:dyDescent="0.2">
      <c r="A41" s="12">
        <v>15</v>
      </c>
      <c r="B41" s="17">
        <f>D15*D16*D18*(1-(D17/100))/100*0.94+(D17/100*D18*D15*(H16-(IF(D15&lt;10,0,I23))/100))</f>
        <v>8327.6856371920003</v>
      </c>
      <c r="C41" s="18">
        <f>IF($D$20&gt;14,$D$24/$D$20,0)</f>
        <v>0</v>
      </c>
      <c r="D41" s="17">
        <f t="shared" si="2"/>
        <v>0</v>
      </c>
      <c r="E41" s="18">
        <f t="shared" si="3"/>
        <v>0</v>
      </c>
      <c r="F41" s="18">
        <f t="shared" si="0"/>
        <v>0</v>
      </c>
      <c r="G41" s="18">
        <f t="shared" si="4"/>
        <v>8327.6856371920003</v>
      </c>
      <c r="H41" s="18">
        <f t="shared" si="1"/>
        <v>693.9738030993334</v>
      </c>
      <c r="I41" s="18">
        <f>G27+G28+G29+G30+G31+G32+G33+G34+G35+G36+G37+G38+G39+G40+G41</f>
        <v>102335.397993176</v>
      </c>
    </row>
    <row r="42" spans="1:9" s="3" customFormat="1" x14ac:dyDescent="0.2">
      <c r="A42" s="12">
        <v>16</v>
      </c>
      <c r="B42" s="17">
        <f>D15*D16*D18*(1-(D17/100))/100*0.94+(D17/100*D18*D15*(H16-(IF(D15&lt;10,0,I23))/100))</f>
        <v>8327.6856371920003</v>
      </c>
      <c r="C42" s="18">
        <f>IF($D$20&gt;15,$D$24/$D$20,0)</f>
        <v>0</v>
      </c>
      <c r="D42" s="17">
        <f t="shared" si="2"/>
        <v>0</v>
      </c>
      <c r="E42" s="18">
        <f t="shared" si="3"/>
        <v>0</v>
      </c>
      <c r="F42" s="18">
        <f t="shared" si="0"/>
        <v>0</v>
      </c>
      <c r="G42" s="18">
        <f t="shared" si="4"/>
        <v>8327.6856371920003</v>
      </c>
      <c r="H42" s="18">
        <f t="shared" si="1"/>
        <v>693.9738030993334</v>
      </c>
      <c r="I42" s="18">
        <f>G27+G28+G29+G30+G31+G32+G33+G34+G35+G36+G37+G38+G39+G40+G41+G42</f>
        <v>110663.083630368</v>
      </c>
    </row>
    <row r="43" spans="1:9" s="3" customFormat="1" x14ac:dyDescent="0.2">
      <c r="A43" s="12">
        <v>17</v>
      </c>
      <c r="B43" s="17">
        <f>D15*D16*D18*(1-(D17/100))/100*0.93+(D17/100*D18*D15*(H16-(IF(D15&lt;10,0,I23))/100))</f>
        <v>8324.4385428240003</v>
      </c>
      <c r="C43" s="18">
        <f>IF($D$20&gt;16,$D$24/$D$20,0)</f>
        <v>0</v>
      </c>
      <c r="D43" s="17">
        <f t="shared" si="2"/>
        <v>0</v>
      </c>
      <c r="E43" s="18">
        <f t="shared" si="3"/>
        <v>0</v>
      </c>
      <c r="F43" s="18">
        <f t="shared" si="0"/>
        <v>0</v>
      </c>
      <c r="G43" s="18">
        <f t="shared" si="4"/>
        <v>8324.4385428240003</v>
      </c>
      <c r="H43" s="18">
        <f t="shared" si="1"/>
        <v>693.70321190200002</v>
      </c>
      <c r="I43" s="18">
        <f>G27+G28+G29+G30+G31+G32+G33+G34+G35+G36+G37+G38+G39+G40+G41+G42+G43</f>
        <v>118987.522173192</v>
      </c>
    </row>
    <row r="44" spans="1:9" s="3" customFormat="1" x14ac:dyDescent="0.2">
      <c r="A44" s="12">
        <v>18</v>
      </c>
      <c r="B44" s="17">
        <f>D15*D16*D18*(1-(D17/100))/100*0.93+(D17/100*D18*D15*(H16-(IF(D15&lt;10,0,I23))/100))</f>
        <v>8324.4385428240003</v>
      </c>
      <c r="C44" s="18">
        <f>IF($D$20&gt;17,$D$24/$D$20,0)</f>
        <v>0</v>
      </c>
      <c r="D44" s="17">
        <f t="shared" si="2"/>
        <v>0</v>
      </c>
      <c r="E44" s="18">
        <f t="shared" si="3"/>
        <v>0</v>
      </c>
      <c r="F44" s="18">
        <f t="shared" si="0"/>
        <v>0</v>
      </c>
      <c r="G44" s="18">
        <f t="shared" si="4"/>
        <v>8324.4385428240003</v>
      </c>
      <c r="H44" s="18">
        <f t="shared" si="1"/>
        <v>693.70321190200002</v>
      </c>
      <c r="I44" s="18">
        <f>G27+G28+G29+G30+G31+G32+G33+G34+G35+G36+G37+G38+G39+G40+G41+G42+G43+G44</f>
        <v>127311.96071601601</v>
      </c>
    </row>
    <row r="45" spans="1:9" s="3" customFormat="1" x14ac:dyDescent="0.2">
      <c r="A45" s="12">
        <v>19</v>
      </c>
      <c r="B45" s="17">
        <f>D15*D16*D18*(1-(D17/100))/100*0.92+(D17/100*D18*D15*(H16-(IF(D15&lt;10,0,I23))/100))</f>
        <v>8321.1914484560002</v>
      </c>
      <c r="C45" s="18">
        <f>IF($D$20&gt;18,$D$24/$D$20,0)</f>
        <v>0</v>
      </c>
      <c r="D45" s="17">
        <f t="shared" si="2"/>
        <v>0</v>
      </c>
      <c r="E45" s="18">
        <f t="shared" si="3"/>
        <v>0</v>
      </c>
      <c r="F45" s="18">
        <f t="shared" si="0"/>
        <v>0</v>
      </c>
      <c r="G45" s="18">
        <f t="shared" si="4"/>
        <v>8321.1914484560002</v>
      </c>
      <c r="H45" s="18">
        <f t="shared" si="1"/>
        <v>693.43262070466665</v>
      </c>
      <c r="I45" s="18">
        <f>G27+G28+G29+G30+G31+G32+G33+G34+G35+G36+G37+G38+G39+G40+G41+G42+G43+G44+G45</f>
        <v>135633.15216447201</v>
      </c>
    </row>
    <row r="46" spans="1:9" s="3" customFormat="1" x14ac:dyDescent="0.2">
      <c r="A46" s="12">
        <v>20</v>
      </c>
      <c r="B46" s="17">
        <f>D15*D16*D18*(1-(D17/100))/100*0.9+(D17/100*D18*D15*(H16-(IF(D15&lt;10,0,I23))/100))</f>
        <v>8314.6972597200001</v>
      </c>
      <c r="C46" s="18">
        <f>IF($D$20&gt;19,$D$24/$D$20,0)</f>
        <v>0</v>
      </c>
      <c r="D46" s="17">
        <f t="shared" si="2"/>
        <v>0</v>
      </c>
      <c r="E46" s="18">
        <f t="shared" si="3"/>
        <v>0</v>
      </c>
      <c r="F46" s="18">
        <f t="shared" si="0"/>
        <v>0</v>
      </c>
      <c r="G46" s="18">
        <f t="shared" si="4"/>
        <v>8314.6972597200001</v>
      </c>
      <c r="H46" s="18">
        <f t="shared" si="1"/>
        <v>692.89143831000001</v>
      </c>
      <c r="I46" s="18">
        <f>G27+G28+G29+G30+G31+G32+G33+G34+G35+G36+G37+G38+G39+G40+G41+G42+G43+G44+G45+G46</f>
        <v>143947.84942419201</v>
      </c>
    </row>
    <row r="47" spans="1:9" s="4" customFormat="1" ht="15.75" x14ac:dyDescent="0.25">
      <c r="A47" s="2" t="s">
        <v>7</v>
      </c>
      <c r="B47" s="19">
        <f>SUM(B27:B46)</f>
        <v>166680.34942419201</v>
      </c>
      <c r="C47" s="20"/>
      <c r="D47" s="20"/>
      <c r="E47" s="20"/>
      <c r="F47" s="20"/>
      <c r="G47" s="20"/>
      <c r="H47" s="20"/>
      <c r="I47" s="19">
        <f>SUM(G27:G46)</f>
        <v>143947.84942419201</v>
      </c>
    </row>
    <row r="48" spans="1:9" s="3" customFormat="1" x14ac:dyDescent="0.2"/>
  </sheetData>
  <dataConsolidate/>
  <customSheetViews>
    <customSheetView guid="{0050EDD7-05C7-4FC9-BEC6-25C857C3B626}" showGridLines="0" fitToPage="1" printArea="1" hiddenColumns="1">
      <selection activeCell="C5" sqref="C5"/>
      <pageMargins left="0.19685039370078741" right="0.19685039370078741" top="0.39370078740157483" bottom="0.39370078740157483" header="0.19685039370078741" footer="0.19685039370078741"/>
      <pageSetup paperSize="9" scale="76" orientation="landscape" r:id="rId1"/>
      <headerFooter alignWithMargins="0">
        <oddHeader>&amp;R&amp;G</oddHeader>
        <oddFooter>&amp;R&amp;D</oddFooter>
      </headerFooter>
    </customSheetView>
  </customSheetViews>
  <mergeCells count="3">
    <mergeCell ref="A1:C1"/>
    <mergeCell ref="F13:I13"/>
    <mergeCell ref="F23:H23"/>
  </mergeCells>
  <phoneticPr fontId="0" type="noConversion"/>
  <dataValidations count="1">
    <dataValidation type="list" allowBlank="1" showInputMessage="1" showErrorMessage="1" sqref="H15 H17" xr:uid="{00000000-0002-0000-0000-000000000000}">
      <formula1>$L$8:$L$9</formula1>
    </dataValidation>
  </dataValidations>
  <pageMargins left="1.0078740157480317" right="0.23622047244094491" top="0.74803149606299213" bottom="0.74803149606299213" header="0.31496062992125984" footer="0.31496062992125984"/>
  <pageSetup paperSize="9" scale="69" orientation="landscape" r:id="rId2"/>
  <headerFooter alignWithMargins="0">
    <oddFooter>&amp;R&amp;D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5E0584E0-DFAD-444B-9DB1-E14CD215EE8B}">
            <xm:f>Vergütung!$C$11</xm:f>
            <x14:dxf>
              <font>
                <color theme="0"/>
              </font>
            </x14:dxf>
          </x14:cfRule>
          <xm:sqref>D8</xm:sqref>
        </x14:conditionalFormatting>
        <x14:conditionalFormatting xmlns:xm="http://schemas.microsoft.com/office/excel/2006/main">
          <x14:cfRule type="containsText" priority="4" operator="containsText" id="{B58297E4-3D55-4164-9FDE-A720373B2D71}">
            <xm:f>NOT(ISERROR(SEARCH($B$6,D6)))</xm:f>
            <xm:f>$B$6</xm:f>
            <x14:dxf>
              <font>
                <b/>
                <i val="0"/>
                <color rgb="FFFF0000"/>
              </font>
            </x14:dxf>
          </x14:cfRule>
          <xm:sqref>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Vergütung!$B$2:$B$106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106"/>
  <sheetViews>
    <sheetView zoomScaleNormal="100" workbookViewId="0">
      <pane ySplit="1" topLeftCell="A98" activePane="bottomLeft" state="frozen"/>
      <selection pane="bottomLeft" activeCell="B107" sqref="B107"/>
    </sheetView>
  </sheetViews>
  <sheetFormatPr baseColWidth="10" defaultRowHeight="12.75" x14ac:dyDescent="0.2"/>
  <cols>
    <col min="1" max="1" width="6.42578125" bestFit="1" customWidth="1"/>
    <col min="2" max="2" width="29.85546875" customWidth="1"/>
    <col min="3" max="4" width="19" bestFit="1" customWidth="1"/>
    <col min="5" max="5" width="20" bestFit="1" customWidth="1"/>
    <col min="6" max="6" width="18.140625" customWidth="1"/>
    <col min="7" max="8" width="20" bestFit="1" customWidth="1"/>
    <col min="10" max="10" width="19" bestFit="1" customWidth="1"/>
    <col min="11" max="11" width="17.85546875" bestFit="1" customWidth="1"/>
    <col min="12" max="14" width="18.85546875" bestFit="1" customWidth="1"/>
  </cols>
  <sheetData>
    <row r="1" spans="1:8" s="1" customFormat="1" ht="18" x14ac:dyDescent="0.25">
      <c r="B1" s="39" t="s">
        <v>25</v>
      </c>
      <c r="C1" s="39" t="s">
        <v>34</v>
      </c>
      <c r="D1" s="39" t="s">
        <v>35</v>
      </c>
      <c r="E1" s="39" t="s">
        <v>36</v>
      </c>
      <c r="F1" s="39" t="s">
        <v>37</v>
      </c>
      <c r="G1" s="39" t="s">
        <v>42</v>
      </c>
      <c r="H1" s="39" t="s">
        <v>43</v>
      </c>
    </row>
    <row r="2" spans="1:8" s="27" customFormat="1" ht="20.25" x14ac:dyDescent="0.3">
      <c r="A2" s="27">
        <v>1</v>
      </c>
      <c r="B2" s="28">
        <v>41640</v>
      </c>
      <c r="C2" s="38">
        <v>13.68</v>
      </c>
      <c r="D2" s="38">
        <v>12.98</v>
      </c>
      <c r="E2" s="38">
        <v>11.58</v>
      </c>
      <c r="F2" s="38">
        <v>9.4700000000000006</v>
      </c>
      <c r="G2" s="45"/>
      <c r="H2" s="45"/>
    </row>
    <row r="3" spans="1:8" s="27" customFormat="1" ht="20.25" x14ac:dyDescent="0.3">
      <c r="A3" s="27">
        <v>2</v>
      </c>
      <c r="B3" s="28">
        <v>41671</v>
      </c>
      <c r="C3" s="38">
        <v>13.55</v>
      </c>
      <c r="D3" s="38">
        <v>12.85</v>
      </c>
      <c r="E3" s="38">
        <v>11.46</v>
      </c>
      <c r="F3" s="38">
        <v>9.3800000000000008</v>
      </c>
      <c r="G3" s="45"/>
      <c r="H3" s="45"/>
    </row>
    <row r="4" spans="1:8" s="27" customFormat="1" ht="20.25" x14ac:dyDescent="0.3">
      <c r="A4" s="27">
        <v>3</v>
      </c>
      <c r="B4" s="28">
        <v>41699</v>
      </c>
      <c r="C4" s="38">
        <v>13.41</v>
      </c>
      <c r="D4" s="38">
        <v>12.72</v>
      </c>
      <c r="E4" s="38">
        <v>11.35</v>
      </c>
      <c r="F4" s="38">
        <v>9.2799999999999994</v>
      </c>
      <c r="G4" s="45"/>
      <c r="H4" s="45"/>
    </row>
    <row r="5" spans="1:8" s="27" customFormat="1" ht="20.25" x14ac:dyDescent="0.3">
      <c r="A5" s="27">
        <v>4</v>
      </c>
      <c r="B5" s="28">
        <v>41730</v>
      </c>
      <c r="C5" s="38">
        <v>13.28</v>
      </c>
      <c r="D5" s="38">
        <v>12.6</v>
      </c>
      <c r="E5" s="38">
        <v>11.23</v>
      </c>
      <c r="F5" s="38">
        <v>9.19</v>
      </c>
      <c r="G5" s="45"/>
      <c r="H5" s="45"/>
    </row>
    <row r="6" spans="1:8" s="27" customFormat="1" ht="20.25" x14ac:dyDescent="0.3">
      <c r="A6" s="27">
        <v>5</v>
      </c>
      <c r="B6" s="28">
        <v>41760</v>
      </c>
      <c r="C6" s="38">
        <v>13.14</v>
      </c>
      <c r="D6" s="38">
        <v>12.47</v>
      </c>
      <c r="E6" s="38">
        <v>11.12</v>
      </c>
      <c r="F6" s="38">
        <v>9.1</v>
      </c>
      <c r="G6" s="45"/>
      <c r="H6" s="45"/>
    </row>
    <row r="7" spans="1:8" s="27" customFormat="1" ht="20.25" x14ac:dyDescent="0.3">
      <c r="A7" s="27">
        <v>6</v>
      </c>
      <c r="B7" s="28">
        <v>41791</v>
      </c>
      <c r="C7" s="38">
        <v>13.01</v>
      </c>
      <c r="D7" s="38">
        <v>12.34</v>
      </c>
      <c r="E7" s="38">
        <v>11.01</v>
      </c>
      <c r="F7" s="38">
        <v>9.01</v>
      </c>
      <c r="G7" s="45"/>
      <c r="H7" s="45"/>
    </row>
    <row r="8" spans="1:8" s="27" customFormat="1" ht="20.25" x14ac:dyDescent="0.3">
      <c r="A8" s="27">
        <v>7</v>
      </c>
      <c r="B8" s="28">
        <v>41821</v>
      </c>
      <c r="C8" s="38">
        <v>12.88</v>
      </c>
      <c r="D8" s="38">
        <v>12.22</v>
      </c>
      <c r="E8" s="38">
        <v>10.9</v>
      </c>
      <c r="F8" s="38">
        <v>8.92</v>
      </c>
      <c r="G8" s="45"/>
      <c r="H8" s="45"/>
    </row>
    <row r="9" spans="1:8" s="27" customFormat="1" ht="20.25" x14ac:dyDescent="0.3">
      <c r="A9" s="27">
        <v>8</v>
      </c>
      <c r="B9" s="28">
        <v>41852</v>
      </c>
      <c r="C9" s="38">
        <v>12.75</v>
      </c>
      <c r="D9" s="38">
        <v>12.4</v>
      </c>
      <c r="E9" s="38">
        <v>11.09</v>
      </c>
      <c r="F9" s="38">
        <v>8.83</v>
      </c>
      <c r="G9" s="45"/>
      <c r="H9" s="45"/>
    </row>
    <row r="10" spans="1:8" s="27" customFormat="1" ht="20.25" x14ac:dyDescent="0.3">
      <c r="A10" s="27">
        <v>9</v>
      </c>
      <c r="B10" s="28">
        <v>41883</v>
      </c>
      <c r="C10" s="38">
        <v>12.69</v>
      </c>
      <c r="D10" s="38">
        <v>12.34</v>
      </c>
      <c r="E10" s="38">
        <v>11.03</v>
      </c>
      <c r="F10" s="38">
        <v>8.7899999999999991</v>
      </c>
      <c r="G10" s="45"/>
      <c r="H10" s="45"/>
    </row>
    <row r="11" spans="1:8" s="27" customFormat="1" ht="20.25" x14ac:dyDescent="0.3">
      <c r="A11" s="27">
        <v>10</v>
      </c>
      <c r="B11" s="28">
        <v>41913</v>
      </c>
      <c r="C11" s="38">
        <v>12.65</v>
      </c>
      <c r="D11" s="38">
        <v>12.31</v>
      </c>
      <c r="E11" s="38">
        <v>11.01</v>
      </c>
      <c r="F11" s="38">
        <v>8.76</v>
      </c>
      <c r="G11" s="45"/>
      <c r="H11" s="45"/>
    </row>
    <row r="12" spans="1:8" s="27" customFormat="1" ht="20.25" x14ac:dyDescent="0.3">
      <c r="A12" s="27">
        <v>11</v>
      </c>
      <c r="B12" s="28">
        <v>41944</v>
      </c>
      <c r="C12" s="38">
        <v>12.62</v>
      </c>
      <c r="D12" s="38">
        <v>12.28</v>
      </c>
      <c r="E12" s="38">
        <v>10.98</v>
      </c>
      <c r="F12" s="38">
        <v>8.74</v>
      </c>
      <c r="G12" s="45"/>
      <c r="H12" s="45"/>
    </row>
    <row r="13" spans="1:8" s="27" customFormat="1" ht="20.25" x14ac:dyDescent="0.3">
      <c r="A13" s="27">
        <v>12</v>
      </c>
      <c r="B13" s="28">
        <v>41974</v>
      </c>
      <c r="C13" s="38">
        <v>12.59</v>
      </c>
      <c r="D13" s="38">
        <v>12.25</v>
      </c>
      <c r="E13" s="38">
        <v>10.95</v>
      </c>
      <c r="F13" s="38">
        <v>8.7200000000000006</v>
      </c>
      <c r="G13" s="45"/>
      <c r="H13" s="45"/>
    </row>
    <row r="14" spans="1:8" s="27" customFormat="1" ht="20.25" x14ac:dyDescent="0.3">
      <c r="A14" s="27">
        <v>13</v>
      </c>
      <c r="B14" s="28">
        <v>42005</v>
      </c>
      <c r="C14" s="38">
        <v>12.56</v>
      </c>
      <c r="D14" s="38">
        <v>12.22</v>
      </c>
      <c r="E14" s="38">
        <v>10.92</v>
      </c>
      <c r="F14" s="38">
        <v>8.6999999999999993</v>
      </c>
      <c r="G14" s="45"/>
      <c r="H14" s="45"/>
    </row>
    <row r="15" spans="1:8" s="27" customFormat="1" ht="20.25" x14ac:dyDescent="0.3">
      <c r="A15" s="27">
        <v>14</v>
      </c>
      <c r="B15" s="28">
        <v>42036</v>
      </c>
      <c r="C15" s="38">
        <v>12.53</v>
      </c>
      <c r="D15" s="38">
        <v>12.18</v>
      </c>
      <c r="E15" s="38">
        <v>10.9</v>
      </c>
      <c r="F15" s="38">
        <v>8.68</v>
      </c>
      <c r="G15" s="45"/>
      <c r="H15" s="45"/>
    </row>
    <row r="16" spans="1:8" s="27" customFormat="1" ht="20.25" x14ac:dyDescent="0.3">
      <c r="A16" s="27">
        <v>15</v>
      </c>
      <c r="B16" s="28">
        <v>42064</v>
      </c>
      <c r="C16" s="38">
        <v>12.5</v>
      </c>
      <c r="D16" s="38">
        <v>12.15</v>
      </c>
      <c r="E16" s="38">
        <v>10.87</v>
      </c>
      <c r="F16" s="38">
        <v>8.65</v>
      </c>
      <c r="G16" s="45"/>
      <c r="H16" s="45"/>
    </row>
    <row r="17" spans="1:8" s="27" customFormat="1" ht="20.25" x14ac:dyDescent="0.3">
      <c r="A17" s="27">
        <v>16</v>
      </c>
      <c r="B17" s="28">
        <v>42095</v>
      </c>
      <c r="C17" s="38">
        <v>12.47</v>
      </c>
      <c r="D17" s="38">
        <v>12.12</v>
      </c>
      <c r="E17" s="38">
        <v>10.84</v>
      </c>
      <c r="F17" s="38">
        <v>8.6300000000000008</v>
      </c>
      <c r="G17" s="45"/>
      <c r="H17" s="45"/>
    </row>
    <row r="18" spans="1:8" s="27" customFormat="1" ht="20.25" x14ac:dyDescent="0.3">
      <c r="A18" s="27">
        <v>17</v>
      </c>
      <c r="B18" s="28">
        <v>42125</v>
      </c>
      <c r="C18" s="38">
        <v>12.43</v>
      </c>
      <c r="D18" s="38">
        <v>12.09</v>
      </c>
      <c r="E18" s="38">
        <v>10.82</v>
      </c>
      <c r="F18" s="38">
        <v>8.61</v>
      </c>
      <c r="G18" s="45"/>
      <c r="H18" s="45"/>
    </row>
    <row r="19" spans="1:8" s="27" customFormat="1" ht="20.25" x14ac:dyDescent="0.3">
      <c r="A19" s="27">
        <v>18</v>
      </c>
      <c r="B19" s="28">
        <v>42156</v>
      </c>
      <c r="C19" s="38">
        <v>12.4</v>
      </c>
      <c r="D19" s="38">
        <v>12.06</v>
      </c>
      <c r="E19" s="38">
        <v>10.79</v>
      </c>
      <c r="F19" s="38">
        <v>8.59</v>
      </c>
      <c r="G19" s="45"/>
      <c r="H19" s="45"/>
    </row>
    <row r="20" spans="1:8" s="27" customFormat="1" ht="20.25" x14ac:dyDescent="0.3">
      <c r="A20" s="27">
        <v>19</v>
      </c>
      <c r="B20" s="28">
        <v>42186</v>
      </c>
      <c r="C20" s="38">
        <v>12.37</v>
      </c>
      <c r="D20" s="38">
        <v>12.03</v>
      </c>
      <c r="E20" s="38">
        <v>10.76</v>
      </c>
      <c r="F20" s="38">
        <v>8.57</v>
      </c>
      <c r="G20" s="45"/>
      <c r="H20" s="45"/>
    </row>
    <row r="21" spans="1:8" s="27" customFormat="1" ht="20.25" x14ac:dyDescent="0.3">
      <c r="A21" s="27">
        <v>20</v>
      </c>
      <c r="B21" s="28">
        <v>42217</v>
      </c>
      <c r="C21" s="38">
        <v>12.34</v>
      </c>
      <c r="D21" s="38">
        <v>12</v>
      </c>
      <c r="E21" s="38">
        <v>10.73</v>
      </c>
      <c r="F21" s="38">
        <v>8.5500000000000007</v>
      </c>
      <c r="G21" s="45"/>
      <c r="H21" s="45"/>
    </row>
    <row r="22" spans="1:8" s="27" customFormat="1" ht="20.25" x14ac:dyDescent="0.3">
      <c r="A22" s="27">
        <v>21</v>
      </c>
      <c r="B22" s="28">
        <v>42248</v>
      </c>
      <c r="C22" s="38">
        <v>12.31</v>
      </c>
      <c r="D22" s="38">
        <v>11.97</v>
      </c>
      <c r="E22" s="38">
        <v>10.71</v>
      </c>
      <c r="F22" s="38">
        <v>8.5299999999999994</v>
      </c>
      <c r="G22" s="45"/>
      <c r="H22" s="45"/>
    </row>
    <row r="23" spans="1:8" s="27" customFormat="1" ht="20.25" x14ac:dyDescent="0.3">
      <c r="A23" s="27">
        <v>22</v>
      </c>
      <c r="B23" s="28">
        <v>42278</v>
      </c>
      <c r="C23" s="38">
        <v>12.31</v>
      </c>
      <c r="D23" s="38">
        <v>11.97</v>
      </c>
      <c r="E23" s="38">
        <v>10.71</v>
      </c>
      <c r="F23" s="38">
        <v>8.5299999999999994</v>
      </c>
      <c r="G23" s="45"/>
      <c r="H23" s="45"/>
    </row>
    <row r="24" spans="1:8" s="27" customFormat="1" ht="20.25" x14ac:dyDescent="0.3">
      <c r="A24" s="27">
        <v>23</v>
      </c>
      <c r="B24" s="28">
        <v>42309</v>
      </c>
      <c r="C24" s="38">
        <v>12.31</v>
      </c>
      <c r="D24" s="38">
        <v>11.97</v>
      </c>
      <c r="E24" s="38">
        <v>10.71</v>
      </c>
      <c r="F24" s="38">
        <v>8.5299999999999994</v>
      </c>
      <c r="G24" s="45"/>
      <c r="H24" s="45"/>
    </row>
    <row r="25" spans="1:8" s="27" customFormat="1" ht="20.25" x14ac:dyDescent="0.3">
      <c r="A25" s="27">
        <v>24</v>
      </c>
      <c r="B25" s="28">
        <v>42339</v>
      </c>
      <c r="C25" s="38">
        <v>12.31</v>
      </c>
      <c r="D25" s="38">
        <v>11.97</v>
      </c>
      <c r="E25" s="38">
        <v>10.71</v>
      </c>
      <c r="F25" s="38">
        <v>8.5299999999999994</v>
      </c>
      <c r="G25" s="45"/>
      <c r="H25" s="45"/>
    </row>
    <row r="26" spans="1:8" ht="20.25" x14ac:dyDescent="0.3">
      <c r="A26" s="27">
        <v>25</v>
      </c>
      <c r="B26" s="28">
        <v>42370</v>
      </c>
      <c r="C26" s="38">
        <v>12.31</v>
      </c>
      <c r="D26" s="38">
        <v>11.97</v>
      </c>
      <c r="E26" s="38">
        <v>10.71</v>
      </c>
      <c r="F26" s="38">
        <v>8.5299999999999994</v>
      </c>
      <c r="G26" s="46"/>
      <c r="H26" s="46"/>
    </row>
    <row r="27" spans="1:8" ht="20.25" x14ac:dyDescent="0.3">
      <c r="A27" s="27">
        <v>26</v>
      </c>
      <c r="B27" s="28">
        <v>42401</v>
      </c>
      <c r="C27" s="38">
        <v>12.31</v>
      </c>
      <c r="D27" s="38">
        <v>11.97</v>
      </c>
      <c r="E27" s="38">
        <v>10.71</v>
      </c>
      <c r="F27" s="38">
        <v>8.5299999999999994</v>
      </c>
      <c r="G27" s="46"/>
      <c r="H27" s="46"/>
    </row>
    <row r="28" spans="1:8" ht="20.25" x14ac:dyDescent="0.3">
      <c r="A28" s="27">
        <v>27</v>
      </c>
      <c r="B28" s="28">
        <v>42430</v>
      </c>
      <c r="C28" s="38">
        <v>12.31</v>
      </c>
      <c r="D28" s="38">
        <v>11.97</v>
      </c>
      <c r="E28" s="38">
        <v>10.71</v>
      </c>
      <c r="F28" s="38">
        <v>8.5299999999999994</v>
      </c>
      <c r="G28" s="46"/>
      <c r="H28" s="46"/>
    </row>
    <row r="29" spans="1:8" ht="20.25" x14ac:dyDescent="0.3">
      <c r="A29" s="27">
        <v>28</v>
      </c>
      <c r="B29" s="28">
        <v>42461</v>
      </c>
      <c r="C29" s="38">
        <v>12.31</v>
      </c>
      <c r="D29" s="38">
        <v>11.97</v>
      </c>
      <c r="E29" s="38">
        <v>10.71</v>
      </c>
      <c r="F29" s="38">
        <v>8.5299999999999994</v>
      </c>
      <c r="G29" s="46"/>
      <c r="H29" s="46"/>
    </row>
    <row r="30" spans="1:8" ht="20.25" x14ac:dyDescent="0.3">
      <c r="A30" s="27">
        <v>29</v>
      </c>
      <c r="B30" s="28">
        <v>42491</v>
      </c>
      <c r="C30" s="38">
        <v>12.31</v>
      </c>
      <c r="D30" s="38">
        <v>11.97</v>
      </c>
      <c r="E30" s="38">
        <v>10.71</v>
      </c>
      <c r="F30" s="38">
        <v>8.5299999999999994</v>
      </c>
      <c r="G30" s="46"/>
      <c r="H30" s="46"/>
    </row>
    <row r="31" spans="1:8" ht="20.25" x14ac:dyDescent="0.3">
      <c r="A31" s="27">
        <v>30</v>
      </c>
      <c r="B31" s="28">
        <v>42522</v>
      </c>
      <c r="C31" s="38">
        <v>12.31</v>
      </c>
      <c r="D31" s="38">
        <v>11.97</v>
      </c>
      <c r="E31" s="38">
        <v>10.71</v>
      </c>
      <c r="F31" s="38">
        <v>8.5299999999999994</v>
      </c>
      <c r="G31" s="46"/>
      <c r="H31" s="46"/>
    </row>
    <row r="32" spans="1:8" ht="20.25" x14ac:dyDescent="0.3">
      <c r="A32" s="27">
        <v>31</v>
      </c>
      <c r="B32" s="28">
        <v>42552</v>
      </c>
      <c r="C32" s="38">
        <v>12.31</v>
      </c>
      <c r="D32" s="38">
        <v>11.97</v>
      </c>
      <c r="E32" s="38">
        <v>10.71</v>
      </c>
      <c r="F32" s="38">
        <v>8.5299999999999994</v>
      </c>
      <c r="G32" s="46"/>
      <c r="H32" s="46"/>
    </row>
    <row r="33" spans="1:8" ht="20.25" x14ac:dyDescent="0.3">
      <c r="A33" s="27">
        <v>32</v>
      </c>
      <c r="B33" s="28">
        <v>42583</v>
      </c>
      <c r="C33" s="38">
        <v>12.31</v>
      </c>
      <c r="D33" s="38">
        <v>11.97</v>
      </c>
      <c r="E33" s="38">
        <v>10.71</v>
      </c>
      <c r="F33" s="38">
        <v>8.5299999999999994</v>
      </c>
      <c r="G33" s="46"/>
      <c r="H33" s="46"/>
    </row>
    <row r="34" spans="1:8" ht="20.25" x14ac:dyDescent="0.3">
      <c r="A34" s="27">
        <v>33</v>
      </c>
      <c r="B34" s="28">
        <v>42614</v>
      </c>
      <c r="C34" s="38">
        <v>12.31</v>
      </c>
      <c r="D34" s="38">
        <v>11.97</v>
      </c>
      <c r="E34" s="38">
        <v>10.71</v>
      </c>
      <c r="F34" s="38">
        <v>8.5299999999999994</v>
      </c>
      <c r="G34" s="46"/>
      <c r="H34" s="46"/>
    </row>
    <row r="35" spans="1:8" ht="20.25" x14ac:dyDescent="0.3">
      <c r="A35" s="27">
        <v>34</v>
      </c>
      <c r="B35" s="28">
        <v>42644</v>
      </c>
      <c r="C35" s="38">
        <v>12.31</v>
      </c>
      <c r="D35" s="38">
        <v>11.97</v>
      </c>
      <c r="E35" s="38">
        <v>10.71</v>
      </c>
      <c r="F35" s="38">
        <v>8.5299999999999994</v>
      </c>
      <c r="G35" s="46"/>
      <c r="H35" s="46"/>
    </row>
    <row r="36" spans="1:8" ht="20.25" x14ac:dyDescent="0.3">
      <c r="A36" s="27">
        <v>35</v>
      </c>
      <c r="B36" s="28">
        <v>42675</v>
      </c>
      <c r="C36" s="38">
        <v>12.31</v>
      </c>
      <c r="D36" s="38">
        <v>11.97</v>
      </c>
      <c r="E36" s="38">
        <v>10.71</v>
      </c>
      <c r="F36" s="38">
        <v>8.5299999999999994</v>
      </c>
      <c r="G36" s="46"/>
      <c r="H36" s="46"/>
    </row>
    <row r="37" spans="1:8" ht="20.25" x14ac:dyDescent="0.3">
      <c r="A37" s="27">
        <v>36</v>
      </c>
      <c r="B37" s="28">
        <v>42705</v>
      </c>
      <c r="C37" s="38">
        <v>12.31</v>
      </c>
      <c r="D37" s="38">
        <v>11.97</v>
      </c>
      <c r="E37" s="38">
        <v>10.71</v>
      </c>
      <c r="F37" s="38">
        <v>8.5299999999999994</v>
      </c>
      <c r="G37" s="46"/>
      <c r="H37" s="46"/>
    </row>
    <row r="38" spans="1:8" ht="20.25" x14ac:dyDescent="0.3">
      <c r="A38" s="27">
        <v>37</v>
      </c>
      <c r="B38" s="28">
        <v>42736</v>
      </c>
      <c r="C38" s="38">
        <v>12.3</v>
      </c>
      <c r="D38" s="38">
        <v>11.96</v>
      </c>
      <c r="E38" s="38">
        <v>10.69</v>
      </c>
      <c r="F38" s="38">
        <v>8.51</v>
      </c>
      <c r="G38" s="46"/>
      <c r="H38" s="46"/>
    </row>
    <row r="39" spans="1:8" ht="20.25" x14ac:dyDescent="0.3">
      <c r="A39" s="27">
        <v>38</v>
      </c>
      <c r="B39" s="28">
        <v>42767</v>
      </c>
      <c r="C39" s="38">
        <v>12.3</v>
      </c>
      <c r="D39" s="38">
        <v>11.96</v>
      </c>
      <c r="E39" s="38">
        <v>10.69</v>
      </c>
      <c r="F39" s="38">
        <v>8.51</v>
      </c>
      <c r="G39" s="46"/>
      <c r="H39" s="46"/>
    </row>
    <row r="40" spans="1:8" ht="20.25" x14ac:dyDescent="0.3">
      <c r="A40" s="27">
        <v>39</v>
      </c>
      <c r="B40" s="28">
        <v>42795</v>
      </c>
      <c r="C40" s="38">
        <v>12.3</v>
      </c>
      <c r="D40" s="38">
        <v>11.96</v>
      </c>
      <c r="E40" s="38">
        <v>10.69</v>
      </c>
      <c r="F40" s="38">
        <v>8.51</v>
      </c>
      <c r="G40" s="46"/>
      <c r="H40" s="46"/>
    </row>
    <row r="41" spans="1:8" ht="20.25" x14ac:dyDescent="0.3">
      <c r="A41" s="27">
        <v>40</v>
      </c>
      <c r="B41" s="28">
        <v>42826</v>
      </c>
      <c r="C41" s="38">
        <v>12.3</v>
      </c>
      <c r="D41" s="38">
        <v>11.96</v>
      </c>
      <c r="E41" s="38">
        <v>10.69</v>
      </c>
      <c r="F41" s="38">
        <v>8.51</v>
      </c>
      <c r="G41" s="46"/>
      <c r="H41" s="46"/>
    </row>
    <row r="42" spans="1:8" ht="20.25" x14ac:dyDescent="0.3">
      <c r="A42" s="27">
        <v>41</v>
      </c>
      <c r="B42" s="28">
        <v>42856</v>
      </c>
      <c r="C42" s="38">
        <v>12.27</v>
      </c>
      <c r="D42" s="38">
        <v>11.93</v>
      </c>
      <c r="E42" s="38">
        <v>10.66</v>
      </c>
      <c r="F42" s="38">
        <v>8.49</v>
      </c>
      <c r="G42" s="46"/>
      <c r="H42" s="46"/>
    </row>
    <row r="43" spans="1:8" ht="20.25" x14ac:dyDescent="0.3">
      <c r="A43" s="27">
        <v>42</v>
      </c>
      <c r="B43" s="28">
        <v>42887</v>
      </c>
      <c r="C43" s="38">
        <v>12.24</v>
      </c>
      <c r="D43" s="38">
        <v>11.9</v>
      </c>
      <c r="E43" s="38">
        <v>10.63</v>
      </c>
      <c r="F43" s="38">
        <v>8.4700000000000006</v>
      </c>
      <c r="G43" s="46"/>
      <c r="H43" s="46"/>
    </row>
    <row r="44" spans="1:8" ht="20.25" x14ac:dyDescent="0.3">
      <c r="A44" s="27">
        <v>43</v>
      </c>
      <c r="B44" s="28">
        <v>42917</v>
      </c>
      <c r="C44" s="38">
        <v>12.2</v>
      </c>
      <c r="D44" s="38">
        <v>11.87</v>
      </c>
      <c r="E44" s="38">
        <v>10.61</v>
      </c>
      <c r="F44" s="38">
        <v>8.44</v>
      </c>
      <c r="G44" s="46"/>
      <c r="H44" s="46"/>
    </row>
    <row r="45" spans="1:8" ht="20.25" x14ac:dyDescent="0.3">
      <c r="A45" s="27">
        <v>44</v>
      </c>
      <c r="B45" s="28">
        <v>42948</v>
      </c>
      <c r="C45" s="38">
        <v>12.2</v>
      </c>
      <c r="D45" s="38">
        <v>11.87</v>
      </c>
      <c r="E45" s="38">
        <v>10.61</v>
      </c>
      <c r="F45" s="38">
        <v>8.44</v>
      </c>
      <c r="G45" s="46"/>
      <c r="H45" s="46"/>
    </row>
    <row r="46" spans="1:8" ht="20.25" x14ac:dyDescent="0.3">
      <c r="A46" s="27">
        <v>45</v>
      </c>
      <c r="B46" s="28">
        <v>42979</v>
      </c>
      <c r="C46" s="38">
        <v>12.2</v>
      </c>
      <c r="D46" s="38">
        <v>11.87</v>
      </c>
      <c r="E46" s="38">
        <v>10.61</v>
      </c>
      <c r="F46" s="38">
        <v>8.44</v>
      </c>
      <c r="G46" s="46"/>
      <c r="H46" s="46"/>
    </row>
    <row r="47" spans="1:8" ht="20.25" x14ac:dyDescent="0.3">
      <c r="A47" s="27">
        <v>46</v>
      </c>
      <c r="B47" s="28">
        <v>43009</v>
      </c>
      <c r="C47" s="38">
        <v>12.2</v>
      </c>
      <c r="D47" s="38">
        <v>11.87</v>
      </c>
      <c r="E47" s="38">
        <v>10.61</v>
      </c>
      <c r="F47" s="38">
        <v>8.44</v>
      </c>
      <c r="G47" s="46"/>
      <c r="H47" s="46"/>
    </row>
    <row r="48" spans="1:8" ht="20.25" x14ac:dyDescent="0.3">
      <c r="A48" s="27">
        <v>47</v>
      </c>
      <c r="B48" s="28">
        <v>43040</v>
      </c>
      <c r="C48" s="38">
        <v>12.2</v>
      </c>
      <c r="D48" s="38">
        <v>11.87</v>
      </c>
      <c r="E48" s="38">
        <v>10.61</v>
      </c>
      <c r="F48" s="38">
        <v>8.44</v>
      </c>
      <c r="G48" s="46"/>
      <c r="H48" s="46"/>
    </row>
    <row r="49" spans="1:8" ht="20.25" x14ac:dyDescent="0.3">
      <c r="A49" s="27">
        <v>48</v>
      </c>
      <c r="B49" s="28">
        <v>43070</v>
      </c>
      <c r="C49" s="38">
        <v>12.2</v>
      </c>
      <c r="D49" s="38">
        <v>11.87</v>
      </c>
      <c r="E49" s="38">
        <v>10.61</v>
      </c>
      <c r="F49" s="38">
        <v>8.44</v>
      </c>
      <c r="G49" s="46"/>
      <c r="H49" s="46"/>
    </row>
    <row r="50" spans="1:8" ht="20.25" x14ac:dyDescent="0.3">
      <c r="A50" s="27">
        <v>49</v>
      </c>
      <c r="B50" s="28">
        <v>43101</v>
      </c>
      <c r="C50" s="38">
        <v>12.2</v>
      </c>
      <c r="D50" s="38">
        <v>11.87</v>
      </c>
      <c r="E50" s="38">
        <v>10.61</v>
      </c>
      <c r="F50" s="38">
        <v>8.44</v>
      </c>
      <c r="G50" s="46"/>
      <c r="H50" s="46"/>
    </row>
    <row r="51" spans="1:8" ht="20.25" x14ac:dyDescent="0.3">
      <c r="A51" s="27">
        <v>50</v>
      </c>
      <c r="B51" s="28">
        <v>43132</v>
      </c>
      <c r="C51" s="38">
        <v>12.2</v>
      </c>
      <c r="D51" s="38">
        <v>11.87</v>
      </c>
      <c r="E51" s="38">
        <v>10.61</v>
      </c>
      <c r="F51" s="38">
        <v>8.44</v>
      </c>
      <c r="G51" s="46"/>
      <c r="H51" s="46"/>
    </row>
    <row r="52" spans="1:8" ht="20.25" x14ac:dyDescent="0.3">
      <c r="A52" s="27">
        <v>51</v>
      </c>
      <c r="B52" s="28">
        <v>43160</v>
      </c>
      <c r="C52" s="38">
        <v>12.2</v>
      </c>
      <c r="D52" s="38">
        <v>11.87</v>
      </c>
      <c r="E52" s="38">
        <v>10.61</v>
      </c>
      <c r="F52" s="38">
        <v>8.44</v>
      </c>
      <c r="G52" s="46"/>
      <c r="H52" s="46"/>
    </row>
    <row r="53" spans="1:8" ht="20.25" x14ac:dyDescent="0.3">
      <c r="A53" s="27">
        <v>52</v>
      </c>
      <c r="B53" s="28">
        <v>43191</v>
      </c>
      <c r="C53" s="38">
        <v>12.2</v>
      </c>
      <c r="D53" s="38">
        <v>11.87</v>
      </c>
      <c r="E53" s="38">
        <v>10.61</v>
      </c>
      <c r="F53" s="38">
        <v>8.44</v>
      </c>
      <c r="G53" s="46"/>
      <c r="H53" s="46"/>
    </row>
    <row r="54" spans="1:8" ht="20.25" x14ac:dyDescent="0.3">
      <c r="A54" s="27">
        <v>53</v>
      </c>
      <c r="B54" s="28">
        <v>43221</v>
      </c>
      <c r="C54" s="38">
        <v>12.2</v>
      </c>
      <c r="D54" s="38">
        <v>11.87</v>
      </c>
      <c r="E54" s="38">
        <v>10.61</v>
      </c>
      <c r="F54" s="38">
        <v>8.44</v>
      </c>
      <c r="G54" s="46"/>
      <c r="H54" s="46"/>
    </row>
    <row r="55" spans="1:8" ht="20.25" x14ac:dyDescent="0.3">
      <c r="A55" s="27">
        <v>54</v>
      </c>
      <c r="B55" s="28">
        <v>43252</v>
      </c>
      <c r="C55" s="38">
        <v>12.2</v>
      </c>
      <c r="D55" s="38">
        <v>11.87</v>
      </c>
      <c r="E55" s="38">
        <v>10.61</v>
      </c>
      <c r="F55" s="38">
        <v>8.44</v>
      </c>
      <c r="G55" s="46"/>
      <c r="H55" s="46"/>
    </row>
    <row r="56" spans="1:8" ht="20.25" x14ac:dyDescent="0.3">
      <c r="A56" s="27">
        <v>55</v>
      </c>
      <c r="B56" s="28">
        <v>43282</v>
      </c>
      <c r="C56" s="38">
        <v>12.2</v>
      </c>
      <c r="D56" s="38">
        <v>11.87</v>
      </c>
      <c r="E56" s="38">
        <v>10.61</v>
      </c>
      <c r="F56" s="38">
        <v>8.44</v>
      </c>
      <c r="G56" s="46"/>
      <c r="H56" s="46"/>
    </row>
    <row r="57" spans="1:8" ht="20.25" x14ac:dyDescent="0.3">
      <c r="A57" s="27">
        <v>56</v>
      </c>
      <c r="B57" s="28">
        <v>43313</v>
      </c>
      <c r="C57" s="38">
        <v>12.08</v>
      </c>
      <c r="D57" s="38">
        <v>11.74</v>
      </c>
      <c r="E57" s="38">
        <v>10.5</v>
      </c>
      <c r="F57" s="38">
        <v>8.35</v>
      </c>
      <c r="G57" s="46"/>
      <c r="H57" s="46"/>
    </row>
    <row r="58" spans="1:8" ht="20.25" x14ac:dyDescent="0.3">
      <c r="A58" s="27">
        <v>57</v>
      </c>
      <c r="B58" s="28">
        <v>43344</v>
      </c>
      <c r="C58" s="38">
        <v>11.95</v>
      </c>
      <c r="D58" s="38">
        <v>11.62</v>
      </c>
      <c r="E58" s="38">
        <v>10.39</v>
      </c>
      <c r="F58" s="38">
        <v>8.27</v>
      </c>
      <c r="G58" s="46"/>
      <c r="H58" s="46"/>
    </row>
    <row r="59" spans="1:8" ht="20.25" x14ac:dyDescent="0.3">
      <c r="A59" s="27">
        <v>58</v>
      </c>
      <c r="B59" s="28">
        <v>43374</v>
      </c>
      <c r="C59" s="38">
        <v>11.83</v>
      </c>
      <c r="D59" s="38">
        <v>11.5</v>
      </c>
      <c r="E59" s="38">
        <v>10.28</v>
      </c>
      <c r="F59" s="38">
        <v>8.18</v>
      </c>
      <c r="G59" s="46"/>
      <c r="H59" s="46"/>
    </row>
    <row r="60" spans="1:8" ht="20.25" x14ac:dyDescent="0.3">
      <c r="A60" s="27">
        <v>59</v>
      </c>
      <c r="B60" s="28">
        <v>43405</v>
      </c>
      <c r="C60" s="38">
        <v>11.71</v>
      </c>
      <c r="D60" s="38">
        <v>11.38</v>
      </c>
      <c r="E60" s="38">
        <v>10.17</v>
      </c>
      <c r="F60" s="38">
        <v>8.09</v>
      </c>
      <c r="G60" s="46"/>
      <c r="H60" s="46"/>
    </row>
    <row r="61" spans="1:8" ht="20.25" x14ac:dyDescent="0.3">
      <c r="A61" s="27">
        <v>60</v>
      </c>
      <c r="B61" s="28">
        <v>43435</v>
      </c>
      <c r="C61" s="38">
        <v>11.59</v>
      </c>
      <c r="D61" s="38">
        <v>11.27</v>
      </c>
      <c r="E61" s="38">
        <v>10.07</v>
      </c>
      <c r="F61" s="38">
        <v>8.01</v>
      </c>
      <c r="G61" s="46"/>
      <c r="H61" s="46"/>
    </row>
    <row r="62" spans="1:8" ht="20.25" x14ac:dyDescent="0.3">
      <c r="A62" s="27">
        <v>61</v>
      </c>
      <c r="B62" s="28">
        <v>43466</v>
      </c>
      <c r="C62" s="38">
        <v>11.47</v>
      </c>
      <c r="D62" s="38">
        <v>11.15</v>
      </c>
      <c r="E62" s="38">
        <v>9.9600000000000009</v>
      </c>
      <c r="F62" s="38">
        <v>7.93</v>
      </c>
      <c r="G62" s="46"/>
      <c r="H62" s="46"/>
    </row>
    <row r="63" spans="1:8" ht="20.25" x14ac:dyDescent="0.3">
      <c r="A63" s="27">
        <v>62</v>
      </c>
      <c r="B63" s="28">
        <v>43497</v>
      </c>
      <c r="C63" s="38">
        <v>11.35</v>
      </c>
      <c r="D63" s="38">
        <v>11.03</v>
      </c>
      <c r="E63" s="38">
        <v>9.4700000000000006</v>
      </c>
      <c r="F63" s="38">
        <v>7.84</v>
      </c>
      <c r="G63" s="46"/>
      <c r="H63" s="46"/>
    </row>
    <row r="64" spans="1:8" ht="20.25" x14ac:dyDescent="0.3">
      <c r="A64" s="27">
        <v>63</v>
      </c>
      <c r="B64" s="28">
        <v>43525</v>
      </c>
      <c r="C64" s="38">
        <v>11.23</v>
      </c>
      <c r="D64" s="38">
        <v>10.92</v>
      </c>
      <c r="E64" s="38">
        <v>8.99</v>
      </c>
      <c r="F64" s="38">
        <v>7.76</v>
      </c>
      <c r="G64" s="46"/>
      <c r="H64" s="46"/>
    </row>
    <row r="65" spans="1:8" ht="20.25" x14ac:dyDescent="0.3">
      <c r="A65" s="27">
        <v>64</v>
      </c>
      <c r="B65" s="28">
        <v>43556</v>
      </c>
      <c r="C65" s="38">
        <v>11.11</v>
      </c>
      <c r="D65" s="38">
        <v>10.81</v>
      </c>
      <c r="E65" s="38">
        <v>8.5</v>
      </c>
      <c r="F65" s="38">
        <v>7.68</v>
      </c>
      <c r="G65" s="46"/>
      <c r="H65" s="46"/>
    </row>
    <row r="66" spans="1:8" ht="20.25" x14ac:dyDescent="0.3">
      <c r="A66" s="27">
        <v>65</v>
      </c>
      <c r="B66" s="28">
        <v>43586</v>
      </c>
      <c r="C66" s="38">
        <v>10.95</v>
      </c>
      <c r="D66" s="38">
        <v>10.65</v>
      </c>
      <c r="E66" s="38">
        <v>8.3800000000000008</v>
      </c>
      <c r="F66" s="38">
        <v>7.57</v>
      </c>
      <c r="G66" s="46"/>
      <c r="H66" s="46"/>
    </row>
    <row r="67" spans="1:8" ht="20.25" x14ac:dyDescent="0.3">
      <c r="A67" s="27">
        <v>66</v>
      </c>
      <c r="B67" s="28">
        <v>43617</v>
      </c>
      <c r="C67" s="38">
        <v>10.79</v>
      </c>
      <c r="D67" s="38">
        <v>10.5</v>
      </c>
      <c r="E67" s="38">
        <v>8.25</v>
      </c>
      <c r="F67" s="38">
        <v>7.45</v>
      </c>
      <c r="G67" s="46"/>
      <c r="H67" s="46"/>
    </row>
    <row r="68" spans="1:8" ht="20.25" x14ac:dyDescent="0.3">
      <c r="A68" s="27">
        <v>67</v>
      </c>
      <c r="B68" s="28">
        <v>43647</v>
      </c>
      <c r="C68" s="38">
        <v>10.64</v>
      </c>
      <c r="D68" s="38">
        <v>10.34</v>
      </c>
      <c r="E68" s="38">
        <v>8.1300000000000008</v>
      </c>
      <c r="F68" s="38">
        <v>7.34</v>
      </c>
      <c r="G68" s="46"/>
      <c r="H68" s="46"/>
    </row>
    <row r="69" spans="1:8" ht="20.25" x14ac:dyDescent="0.3">
      <c r="A69" s="27">
        <v>68</v>
      </c>
      <c r="B69" s="28">
        <v>43678</v>
      </c>
      <c r="C69" s="38">
        <v>10.48</v>
      </c>
      <c r="D69" s="38">
        <v>10.19</v>
      </c>
      <c r="E69" s="38">
        <v>8.01</v>
      </c>
      <c r="F69" s="38">
        <v>7.24</v>
      </c>
      <c r="G69" s="46"/>
      <c r="H69" s="46"/>
    </row>
    <row r="70" spans="1:8" ht="20.25" x14ac:dyDescent="0.3">
      <c r="A70" s="27">
        <v>69</v>
      </c>
      <c r="B70" s="28">
        <v>43709</v>
      </c>
      <c r="C70" s="38">
        <v>10.33</v>
      </c>
      <c r="D70" s="38">
        <v>10.039999999999999</v>
      </c>
      <c r="E70" s="38">
        <v>7.89</v>
      </c>
      <c r="F70" s="38">
        <v>7.13</v>
      </c>
      <c r="G70" s="46"/>
      <c r="H70" s="46"/>
    </row>
    <row r="71" spans="1:8" ht="20.25" x14ac:dyDescent="0.3">
      <c r="A71" s="27">
        <v>70</v>
      </c>
      <c r="B71" s="28">
        <v>43739</v>
      </c>
      <c r="C71" s="38">
        <v>10.18</v>
      </c>
      <c r="D71" s="38">
        <v>9.9</v>
      </c>
      <c r="E71" s="38">
        <v>7.78</v>
      </c>
      <c r="F71" s="38">
        <v>7.02</v>
      </c>
      <c r="G71" s="46"/>
      <c r="H71" s="46"/>
    </row>
    <row r="72" spans="1:8" ht="20.25" x14ac:dyDescent="0.3">
      <c r="A72" s="27">
        <v>71</v>
      </c>
      <c r="B72" s="28">
        <v>43770</v>
      </c>
      <c r="C72" s="38">
        <v>10.08</v>
      </c>
      <c r="D72" s="38">
        <v>9.7899999999999991</v>
      </c>
      <c r="E72" s="38">
        <v>7.7</v>
      </c>
      <c r="F72" s="38">
        <v>6.95</v>
      </c>
      <c r="G72" s="46"/>
      <c r="H72" s="46"/>
    </row>
    <row r="73" spans="1:8" ht="20.25" x14ac:dyDescent="0.3">
      <c r="A73" s="27">
        <v>72</v>
      </c>
      <c r="B73" s="28">
        <v>43800</v>
      </c>
      <c r="C73" s="38">
        <v>9.9700000000000006</v>
      </c>
      <c r="D73" s="38">
        <v>9.69</v>
      </c>
      <c r="E73" s="38">
        <v>7.62</v>
      </c>
      <c r="F73" s="38">
        <v>6.88</v>
      </c>
      <c r="G73" s="46"/>
      <c r="H73" s="46"/>
    </row>
    <row r="74" spans="1:8" ht="20.25" x14ac:dyDescent="0.3">
      <c r="A74" s="27">
        <v>73</v>
      </c>
      <c r="B74" s="28">
        <v>43831</v>
      </c>
      <c r="C74" s="38">
        <v>9.8699999999999992</v>
      </c>
      <c r="D74" s="38">
        <v>9.59</v>
      </c>
      <c r="E74" s="38">
        <v>7.54</v>
      </c>
      <c r="F74" s="38">
        <v>6.8</v>
      </c>
      <c r="G74" s="46"/>
      <c r="H74" s="46"/>
    </row>
    <row r="75" spans="1:8" ht="20.25" x14ac:dyDescent="0.3">
      <c r="A75" s="27">
        <v>74</v>
      </c>
      <c r="B75" s="28">
        <v>43862</v>
      </c>
      <c r="C75" s="38">
        <v>9.7200000000000006</v>
      </c>
      <c r="D75" s="38">
        <v>9.4499999999999993</v>
      </c>
      <c r="E75" s="38">
        <v>7.42</v>
      </c>
      <c r="F75" s="38">
        <v>6.7</v>
      </c>
      <c r="G75" s="46"/>
      <c r="H75" s="46"/>
    </row>
    <row r="76" spans="1:8" ht="20.25" x14ac:dyDescent="0.3">
      <c r="A76" s="27">
        <v>75</v>
      </c>
      <c r="B76" s="28">
        <v>43891</v>
      </c>
      <c r="C76" s="38">
        <v>9.58</v>
      </c>
      <c r="D76" s="38">
        <v>9.31</v>
      </c>
      <c r="E76" s="38">
        <v>7.31</v>
      </c>
      <c r="F76" s="38">
        <v>6.6</v>
      </c>
      <c r="G76" s="46"/>
      <c r="H76" s="46"/>
    </row>
    <row r="77" spans="1:8" ht="20.25" x14ac:dyDescent="0.3">
      <c r="A77" s="27">
        <v>76</v>
      </c>
      <c r="B77" s="28">
        <v>43922</v>
      </c>
      <c r="C77" s="38">
        <v>9.44</v>
      </c>
      <c r="D77" s="38">
        <v>9.18</v>
      </c>
      <c r="E77" s="38">
        <v>7.21</v>
      </c>
      <c r="F77" s="38">
        <v>6.5</v>
      </c>
      <c r="G77" s="46"/>
      <c r="H77" s="46"/>
    </row>
    <row r="78" spans="1:8" ht="20.25" x14ac:dyDescent="0.3">
      <c r="A78" s="27">
        <v>77</v>
      </c>
      <c r="B78" s="28">
        <v>43952</v>
      </c>
      <c r="C78" s="38">
        <v>9.3000000000000007</v>
      </c>
      <c r="D78" s="38">
        <v>9.0399999999999991</v>
      </c>
      <c r="E78" s="38">
        <v>7.1</v>
      </c>
      <c r="F78" s="38">
        <v>6.41</v>
      </c>
      <c r="G78" s="46"/>
      <c r="H78" s="46"/>
    </row>
    <row r="79" spans="1:8" ht="20.25" x14ac:dyDescent="0.3">
      <c r="A79" s="27">
        <v>78</v>
      </c>
      <c r="B79" s="28">
        <v>43983</v>
      </c>
      <c r="C79" s="38">
        <v>9.17</v>
      </c>
      <c r="D79" s="38">
        <v>8.91</v>
      </c>
      <c r="E79" s="38">
        <v>7</v>
      </c>
      <c r="F79" s="38">
        <v>6.31</v>
      </c>
      <c r="G79" s="46"/>
      <c r="H79" s="46"/>
    </row>
    <row r="80" spans="1:8" ht="20.25" x14ac:dyDescent="0.3">
      <c r="A80" s="27">
        <v>79</v>
      </c>
      <c r="B80" s="28">
        <v>44013</v>
      </c>
      <c r="C80" s="38">
        <v>9.0299999999999994</v>
      </c>
      <c r="D80" s="38">
        <v>8.7799999999999994</v>
      </c>
      <c r="E80" s="38">
        <v>6.89</v>
      </c>
      <c r="F80" s="38">
        <v>6.22</v>
      </c>
      <c r="G80" s="46"/>
      <c r="H80" s="46"/>
    </row>
    <row r="81" spans="1:8" ht="20.25" x14ac:dyDescent="0.3">
      <c r="A81" s="27">
        <v>80</v>
      </c>
      <c r="B81" s="28">
        <v>44044</v>
      </c>
      <c r="C81" s="38">
        <v>8.9</v>
      </c>
      <c r="D81" s="38">
        <v>8.65</v>
      </c>
      <c r="E81" s="38">
        <v>6.79</v>
      </c>
      <c r="F81" s="38">
        <v>6.13</v>
      </c>
      <c r="G81" s="46"/>
      <c r="H81" s="46"/>
    </row>
    <row r="82" spans="1:8" ht="20.25" x14ac:dyDescent="0.3">
      <c r="A82" s="27">
        <v>81</v>
      </c>
      <c r="B82" s="28">
        <v>44075</v>
      </c>
      <c r="C82" s="38">
        <v>8.77</v>
      </c>
      <c r="D82" s="38">
        <v>8.5299999999999994</v>
      </c>
      <c r="E82" s="38">
        <v>6.69</v>
      </c>
      <c r="F82" s="38">
        <v>6.03</v>
      </c>
      <c r="G82" s="46"/>
      <c r="H82" s="46"/>
    </row>
    <row r="83" spans="1:8" ht="20.25" x14ac:dyDescent="0.3">
      <c r="A83" s="27">
        <v>82</v>
      </c>
      <c r="B83" s="28">
        <v>44105</v>
      </c>
      <c r="C83" s="38">
        <v>8.64</v>
      </c>
      <c r="D83" s="38">
        <v>8.4</v>
      </c>
      <c r="E83" s="38">
        <v>6.59</v>
      </c>
      <c r="F83" s="38">
        <v>5.94</v>
      </c>
      <c r="G83" s="46"/>
      <c r="H83" s="46"/>
    </row>
    <row r="84" spans="1:8" ht="20.25" x14ac:dyDescent="0.3">
      <c r="A84" s="27">
        <v>83</v>
      </c>
      <c r="B84" s="28">
        <v>44136</v>
      </c>
      <c r="C84" s="38">
        <v>8.48</v>
      </c>
      <c r="D84" s="38">
        <v>8.24</v>
      </c>
      <c r="E84" s="38">
        <v>6.46</v>
      </c>
      <c r="F84" s="38">
        <v>5.83</v>
      </c>
      <c r="G84" s="46"/>
      <c r="H84" s="46"/>
    </row>
    <row r="85" spans="1:8" ht="20.25" x14ac:dyDescent="0.3">
      <c r="A85" s="27">
        <v>84</v>
      </c>
      <c r="B85" s="28">
        <v>44166</v>
      </c>
      <c r="C85" s="38">
        <v>8.32</v>
      </c>
      <c r="D85" s="38">
        <v>8.09</v>
      </c>
      <c r="E85" s="38">
        <v>6.34</v>
      </c>
      <c r="F85" s="38">
        <v>5.72</v>
      </c>
      <c r="G85" s="46"/>
      <c r="H85" s="46"/>
    </row>
    <row r="86" spans="1:8" ht="20.25" x14ac:dyDescent="0.3">
      <c r="A86" s="27">
        <v>85</v>
      </c>
      <c r="B86" s="28">
        <v>44197</v>
      </c>
      <c r="C86" s="38">
        <v>8.16</v>
      </c>
      <c r="D86" s="38">
        <v>7.93</v>
      </c>
      <c r="E86" s="38">
        <v>6.22</v>
      </c>
      <c r="F86" s="38">
        <v>5.61</v>
      </c>
      <c r="G86" s="46"/>
      <c r="H86" s="46"/>
    </row>
    <row r="87" spans="1:8" ht="20.25" customHeight="1" x14ac:dyDescent="0.3">
      <c r="A87" s="27">
        <v>86</v>
      </c>
      <c r="B87" s="28">
        <v>44228</v>
      </c>
      <c r="C87" s="38">
        <v>8.0399999999999991</v>
      </c>
      <c r="D87" s="38">
        <v>7.81</v>
      </c>
      <c r="E87" s="38">
        <v>6.13</v>
      </c>
      <c r="F87" s="38">
        <v>5.53</v>
      </c>
      <c r="G87" s="46"/>
      <c r="H87" s="46"/>
    </row>
    <row r="88" spans="1:8" ht="20.25" customHeight="1" x14ac:dyDescent="0.3">
      <c r="A88" s="27">
        <v>87</v>
      </c>
      <c r="B88" s="28">
        <v>44256</v>
      </c>
      <c r="C88" s="38">
        <v>7.92</v>
      </c>
      <c r="D88" s="38">
        <v>7.7</v>
      </c>
      <c r="E88" s="38">
        <v>6.04</v>
      </c>
      <c r="F88" s="38">
        <v>5.44</v>
      </c>
      <c r="G88" s="46"/>
      <c r="H88" s="46"/>
    </row>
    <row r="89" spans="1:8" ht="20.25" customHeight="1" x14ac:dyDescent="0.3">
      <c r="A89" s="27">
        <v>88</v>
      </c>
      <c r="B89" s="28">
        <v>44287</v>
      </c>
      <c r="C89" s="38">
        <v>7.81</v>
      </c>
      <c r="D89" s="38">
        <v>7.59</v>
      </c>
      <c r="E89" s="38">
        <v>5.95</v>
      </c>
      <c r="F89" s="38">
        <v>5.36</v>
      </c>
      <c r="G89" s="46"/>
      <c r="H89" s="46"/>
    </row>
    <row r="90" spans="1:8" ht="20.25" x14ac:dyDescent="0.3">
      <c r="A90" s="27">
        <v>89</v>
      </c>
      <c r="B90" s="28">
        <v>44317</v>
      </c>
      <c r="C90" s="38">
        <v>7.6899999999999995</v>
      </c>
      <c r="D90" s="38">
        <v>7.47</v>
      </c>
      <c r="E90" s="38">
        <v>5.8599999999999994</v>
      </c>
      <c r="F90" s="38">
        <v>5.2799999999999994</v>
      </c>
      <c r="G90" s="46"/>
      <c r="H90" s="46"/>
    </row>
    <row r="91" spans="1:8" ht="20.25" x14ac:dyDescent="0.3">
      <c r="A91" s="27">
        <v>90</v>
      </c>
      <c r="B91" s="28">
        <v>44348</v>
      </c>
      <c r="C91" s="38">
        <v>7.58</v>
      </c>
      <c r="D91" s="38">
        <v>7.3599999999999994</v>
      </c>
      <c r="E91" s="38">
        <v>5.77</v>
      </c>
      <c r="F91" s="38">
        <v>5.1999999999999993</v>
      </c>
      <c r="G91" s="46"/>
      <c r="H91" s="46"/>
    </row>
    <row r="92" spans="1:8" ht="20.25" x14ac:dyDescent="0.3">
      <c r="A92" s="27">
        <v>91</v>
      </c>
      <c r="B92" s="28">
        <v>44378</v>
      </c>
      <c r="C92" s="38">
        <v>7.47</v>
      </c>
      <c r="D92" s="38">
        <v>7.25</v>
      </c>
      <c r="E92" s="38">
        <v>5.68</v>
      </c>
      <c r="F92" s="38">
        <v>5.1199999999999992</v>
      </c>
      <c r="G92" s="46"/>
      <c r="H92" s="46"/>
    </row>
    <row r="93" spans="1:8" ht="20.25" x14ac:dyDescent="0.3">
      <c r="A93" s="27">
        <v>92</v>
      </c>
      <c r="B93" s="28">
        <v>44409</v>
      </c>
      <c r="C93" s="38">
        <v>7.36</v>
      </c>
      <c r="D93" s="38">
        <v>7.15</v>
      </c>
      <c r="E93" s="38">
        <v>5.6</v>
      </c>
      <c r="F93" s="38">
        <v>5.05</v>
      </c>
      <c r="G93" s="46"/>
      <c r="H93" s="46"/>
    </row>
    <row r="94" spans="1:8" ht="20.25" x14ac:dyDescent="0.3">
      <c r="A94" s="27">
        <v>93</v>
      </c>
      <c r="B94" s="28">
        <v>44440</v>
      </c>
      <c r="C94" s="38">
        <v>7.25</v>
      </c>
      <c r="D94" s="38">
        <v>7.04</v>
      </c>
      <c r="E94" s="38">
        <v>5.51</v>
      </c>
      <c r="F94" s="38">
        <v>4.97</v>
      </c>
      <c r="G94" s="46"/>
      <c r="H94" s="46"/>
    </row>
    <row r="95" spans="1:8" ht="20.25" x14ac:dyDescent="0.3">
      <c r="A95" s="27">
        <v>94</v>
      </c>
      <c r="B95" s="28">
        <v>44470</v>
      </c>
      <c r="C95" s="38">
        <v>7.14</v>
      </c>
      <c r="D95" s="38">
        <v>6.94</v>
      </c>
      <c r="E95" s="38">
        <v>5.43</v>
      </c>
      <c r="F95" s="38">
        <v>4.8899999999999997</v>
      </c>
      <c r="G95" s="46"/>
      <c r="H95" s="46"/>
    </row>
    <row r="96" spans="1:8" ht="20.25" x14ac:dyDescent="0.3">
      <c r="A96" s="27">
        <v>95</v>
      </c>
      <c r="B96" s="28">
        <v>44501</v>
      </c>
      <c r="C96" s="38">
        <v>7.03</v>
      </c>
      <c r="D96" s="38">
        <v>6.83</v>
      </c>
      <c r="E96" s="38">
        <v>5.35</v>
      </c>
      <c r="F96" s="38">
        <v>4.82</v>
      </c>
      <c r="G96" s="46"/>
      <c r="H96" s="46"/>
    </row>
    <row r="97" spans="1:8" ht="20.25" x14ac:dyDescent="0.3">
      <c r="A97" s="27">
        <v>96</v>
      </c>
      <c r="B97" s="28">
        <v>44531</v>
      </c>
      <c r="C97" s="38">
        <v>6.93</v>
      </c>
      <c r="D97" s="38">
        <v>6.73</v>
      </c>
      <c r="E97" s="38">
        <v>5.27</v>
      </c>
      <c r="F97" s="38">
        <v>4.75</v>
      </c>
      <c r="G97" s="46"/>
      <c r="H97" s="46"/>
    </row>
    <row r="98" spans="1:8" ht="20.25" x14ac:dyDescent="0.3">
      <c r="A98" s="27">
        <v>97</v>
      </c>
      <c r="B98" s="28">
        <v>44562</v>
      </c>
      <c r="C98" s="38">
        <v>6.83</v>
      </c>
      <c r="D98" s="38">
        <v>6.63</v>
      </c>
      <c r="E98" s="38">
        <v>5.19</v>
      </c>
      <c r="F98" s="38">
        <v>4.67</v>
      </c>
      <c r="G98" s="46"/>
      <c r="H98" s="46"/>
    </row>
    <row r="99" spans="1:8" ht="20.25" x14ac:dyDescent="0.3">
      <c r="A99" s="27">
        <v>98</v>
      </c>
      <c r="B99" s="28">
        <v>44593</v>
      </c>
      <c r="C99" s="38">
        <v>6.73</v>
      </c>
      <c r="D99" s="38">
        <v>6.53</v>
      </c>
      <c r="E99" s="38">
        <v>5.1100000000000003</v>
      </c>
      <c r="F99" s="38">
        <v>4.5999999999999996</v>
      </c>
      <c r="G99" s="46"/>
      <c r="H99" s="46"/>
    </row>
    <row r="100" spans="1:8" ht="20.25" x14ac:dyDescent="0.3">
      <c r="A100" s="27">
        <v>99</v>
      </c>
      <c r="B100" s="28">
        <v>44621</v>
      </c>
      <c r="C100" s="38">
        <v>6.63</v>
      </c>
      <c r="D100" s="38">
        <v>6.44</v>
      </c>
      <c r="E100" s="38">
        <v>5.03</v>
      </c>
      <c r="F100" s="38">
        <v>4.53</v>
      </c>
      <c r="G100" s="46"/>
      <c r="H100" s="46"/>
    </row>
    <row r="101" spans="1:8" ht="20.25" x14ac:dyDescent="0.3">
      <c r="A101" s="27">
        <v>100</v>
      </c>
      <c r="B101" s="28">
        <v>44652</v>
      </c>
      <c r="C101" s="38">
        <v>6.53</v>
      </c>
      <c r="D101" s="38">
        <v>6.34</v>
      </c>
      <c r="E101" s="38">
        <v>4.96</v>
      </c>
      <c r="F101" s="38">
        <v>4.46</v>
      </c>
      <c r="G101" s="46"/>
      <c r="H101" s="46"/>
    </row>
    <row r="102" spans="1:8" ht="20.25" x14ac:dyDescent="0.3">
      <c r="A102" s="27">
        <v>101</v>
      </c>
      <c r="B102" s="28">
        <v>44682</v>
      </c>
      <c r="C102" s="38">
        <v>6.43</v>
      </c>
      <c r="D102" s="38">
        <v>6.25</v>
      </c>
      <c r="E102" s="38">
        <v>4.88</v>
      </c>
      <c r="F102" s="38">
        <v>4.4000000000000004</v>
      </c>
      <c r="G102" s="46"/>
      <c r="H102" s="46"/>
    </row>
    <row r="103" spans="1:8" ht="20.25" x14ac:dyDescent="0.3">
      <c r="A103" s="27">
        <v>102</v>
      </c>
      <c r="B103" s="28">
        <v>44713</v>
      </c>
      <c r="C103" s="38">
        <v>6.34</v>
      </c>
      <c r="D103" s="38">
        <v>6.15</v>
      </c>
      <c r="E103" s="38">
        <v>4.8099999999999996</v>
      </c>
      <c r="F103" s="38">
        <v>4.33</v>
      </c>
      <c r="G103" s="46"/>
      <c r="H103" s="46"/>
    </row>
    <row r="104" spans="1:8" ht="20.25" x14ac:dyDescent="0.3">
      <c r="A104" s="27">
        <v>103</v>
      </c>
      <c r="B104" s="28">
        <v>44743</v>
      </c>
      <c r="C104" s="38">
        <v>6.24</v>
      </c>
      <c r="D104" s="38">
        <v>6.06</v>
      </c>
      <c r="E104" s="38">
        <v>4.74</v>
      </c>
      <c r="F104" s="38">
        <v>4.26</v>
      </c>
      <c r="G104" s="46"/>
      <c r="H104" s="46"/>
    </row>
    <row r="105" spans="1:8" ht="20.25" x14ac:dyDescent="0.3">
      <c r="A105" s="27">
        <v>104</v>
      </c>
      <c r="B105" s="28" t="s">
        <v>51</v>
      </c>
      <c r="C105" s="45">
        <v>8.1999999999999993</v>
      </c>
      <c r="D105" s="45">
        <v>7.1</v>
      </c>
      <c r="E105" s="45">
        <v>5.8</v>
      </c>
      <c r="F105" s="46"/>
      <c r="G105" s="45">
        <v>6.2</v>
      </c>
      <c r="H105" s="45">
        <v>6.2</v>
      </c>
    </row>
    <row r="106" spans="1:8" ht="20.25" x14ac:dyDescent="0.3">
      <c r="A106" s="27">
        <v>105</v>
      </c>
      <c r="B106" s="28" t="s">
        <v>52</v>
      </c>
      <c r="C106" s="45">
        <v>13</v>
      </c>
      <c r="D106" s="45">
        <v>10.9</v>
      </c>
      <c r="E106" s="45">
        <v>10.9</v>
      </c>
      <c r="F106" s="46"/>
      <c r="G106" s="45">
        <v>9.4</v>
      </c>
      <c r="H106" s="45">
        <v>6.2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Wirschaftlichkeitsberechnung</vt:lpstr>
      <vt:lpstr>Vergütung</vt:lpstr>
      <vt:lpstr>Tabelle3</vt:lpstr>
      <vt:lpstr>Wirschaftlichkeitsberechnung!Druckbereich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Eduard Weiß</cp:lastModifiedBy>
  <cp:lastPrinted>2014-09-11T12:44:47Z</cp:lastPrinted>
  <dcterms:created xsi:type="dcterms:W3CDTF">2006-06-20T12:38:10Z</dcterms:created>
  <dcterms:modified xsi:type="dcterms:W3CDTF">2023-01-20T08:57:28Z</dcterms:modified>
</cp:coreProperties>
</file>