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fbkdevelopmentcom.sharepoint.com/sites/paracelsusstrasse/Freigegebene Dokumente/11. Vermarktung/11.10 Teaser Verkauf/Vorabinformationen Einzelverkauf/"/>
    </mc:Choice>
  </mc:AlternateContent>
  <xr:revisionPtr revIDLastSave="1512" documentId="8_{3426CC24-ECFE-4880-8821-1650718C23C1}" xr6:coauthVersionLast="47" xr6:coauthVersionMax="47" xr10:uidLastSave="{67406094-35F7-424C-AA27-983BD876C276}"/>
  <bookViews>
    <workbookView xWindow="-120" yWindow="-120" windowWidth="29040" windowHeight="15840" xr2:uid="{CF323F0B-03F6-4C69-B836-47099A657C70}"/>
  </bookViews>
  <sheets>
    <sheet name="Berechnung" sheetId="2" r:id="rId1"/>
    <sheet name="Kaufpreisliste" sheetId="1" r:id="rId2"/>
    <sheet name="Tabelle3" sheetId="3" state="hidden" r:id="rId3"/>
  </sheets>
  <definedNames>
    <definedName name="_xlnm.Print_Area" localSheetId="0">Berechnung!$A$1:$P$95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1" i="2" l="1"/>
  <c r="K50" i="2"/>
  <c r="K23" i="2"/>
  <c r="K22" i="2"/>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7" i="1"/>
  <c r="G13" i="2"/>
  <c r="G14" i="2" l="1"/>
  <c r="K13" i="2"/>
  <c r="K14" i="2" s="1"/>
  <c r="K15" i="2" l="1"/>
  <c r="K16" i="2" s="1"/>
  <c r="B7" i="3" l="1"/>
  <c r="B8" i="3" s="1"/>
  <c r="C8" i="3" s="1"/>
  <c r="E8" i="3" s="1"/>
  <c r="C6" i="3"/>
  <c r="E6" i="3" s="1"/>
  <c r="F6" i="3" s="1"/>
  <c r="G6" i="3" l="1"/>
  <c r="H6" i="3" s="1"/>
  <c r="D6" i="3"/>
  <c r="C7" i="3"/>
  <c r="D7" i="3" s="1"/>
  <c r="G8" i="3"/>
  <c r="H8" i="3" s="1"/>
  <c r="F8" i="3"/>
  <c r="D8" i="3"/>
  <c r="B9" i="3"/>
  <c r="E7" i="3" l="1"/>
  <c r="F7" i="3" s="1"/>
  <c r="B10" i="3"/>
  <c r="C9" i="3"/>
  <c r="G7" i="3" l="1"/>
  <c r="H7" i="3" s="1"/>
  <c r="D9" i="3"/>
  <c r="E9" i="3"/>
  <c r="B11" i="3"/>
  <c r="C10" i="3"/>
  <c r="E10" i="3" l="1"/>
  <c r="D10" i="3"/>
  <c r="C11" i="3"/>
  <c r="B12" i="3"/>
  <c r="G9" i="3"/>
  <c r="H9" i="3" s="1"/>
  <c r="F9" i="3"/>
  <c r="E11" i="3" l="1"/>
  <c r="D11" i="3"/>
  <c r="C12" i="3"/>
  <c r="B13" i="3"/>
  <c r="G10" i="3"/>
  <c r="H10" i="3" s="1"/>
  <c r="F10" i="3"/>
  <c r="D12" i="3" l="1"/>
  <c r="E12" i="3"/>
  <c r="C13" i="3"/>
  <c r="B14" i="3"/>
  <c r="F11" i="3"/>
  <c r="G11" i="3"/>
  <c r="H11" i="3" s="1"/>
  <c r="B15" i="3" l="1"/>
  <c r="C15" i="3" s="1"/>
  <c r="C14" i="3"/>
  <c r="B16" i="3"/>
  <c r="D13" i="3"/>
  <c r="E13" i="3"/>
  <c r="G12" i="3"/>
  <c r="H12" i="3" s="1"/>
  <c r="F12" i="3"/>
  <c r="C16" i="3" l="1"/>
  <c r="B17" i="3"/>
  <c r="E14" i="3"/>
  <c r="D14" i="3"/>
  <c r="G13" i="3"/>
  <c r="H13" i="3" s="1"/>
  <c r="F13" i="3"/>
  <c r="E15" i="3"/>
  <c r="D15" i="3"/>
  <c r="G15" i="3" l="1"/>
  <c r="H15" i="3" s="1"/>
  <c r="F15" i="3"/>
  <c r="F14" i="3"/>
  <c r="G14" i="3"/>
  <c r="H14" i="3" s="1"/>
  <c r="B18" i="3"/>
  <c r="C17" i="3"/>
  <c r="D16" i="3"/>
  <c r="E16" i="3"/>
  <c r="B19" i="3" l="1"/>
  <c r="C18" i="3"/>
  <c r="G16" i="3"/>
  <c r="H16" i="3" s="1"/>
  <c r="F16" i="3"/>
  <c r="E17" i="3"/>
  <c r="D17" i="3"/>
  <c r="E18" i="3" l="1"/>
  <c r="D18" i="3"/>
  <c r="G17" i="3"/>
  <c r="H17" i="3" s="1"/>
  <c r="F17" i="3"/>
  <c r="C19" i="3"/>
  <c r="B20" i="3"/>
  <c r="C20" i="3" l="1"/>
  <c r="B21" i="3"/>
  <c r="D19" i="3"/>
  <c r="E19" i="3"/>
  <c r="F18" i="3"/>
  <c r="G18" i="3"/>
  <c r="H18" i="3" s="1"/>
  <c r="G19" i="3" l="1"/>
  <c r="H19" i="3" s="1"/>
  <c r="F19" i="3"/>
  <c r="B22" i="3"/>
  <c r="C21" i="3"/>
  <c r="D20" i="3"/>
  <c r="E20" i="3"/>
  <c r="E21" i="3" l="1"/>
  <c r="D21" i="3"/>
  <c r="B23" i="3"/>
  <c r="C22" i="3"/>
  <c r="G20" i="3"/>
  <c r="H20" i="3" s="1"/>
  <c r="F20" i="3"/>
  <c r="E22" i="3" l="1"/>
  <c r="D22" i="3"/>
  <c r="C23" i="3"/>
  <c r="B24" i="3"/>
  <c r="F21" i="3"/>
  <c r="G21" i="3"/>
  <c r="H21" i="3" s="1"/>
  <c r="C24" i="3" l="1"/>
  <c r="B25" i="3"/>
  <c r="E23" i="3"/>
  <c r="D23" i="3"/>
  <c r="F22" i="3"/>
  <c r="G22" i="3"/>
  <c r="H22" i="3" s="1"/>
  <c r="G23" i="3" l="1"/>
  <c r="H23" i="3" s="1"/>
  <c r="F23" i="3"/>
  <c r="B26" i="3"/>
  <c r="C25" i="3"/>
  <c r="D24" i="3"/>
  <c r="E24" i="3"/>
  <c r="G24" i="3" l="1"/>
  <c r="H24" i="3" s="1"/>
  <c r="F24" i="3"/>
  <c r="E25" i="3"/>
  <c r="D25" i="3"/>
  <c r="B27" i="3"/>
  <c r="C26" i="3"/>
  <c r="F25" i="3" l="1"/>
  <c r="G25" i="3"/>
  <c r="H25" i="3" s="1"/>
  <c r="E26" i="3"/>
  <c r="D26" i="3"/>
  <c r="C27" i="3"/>
  <c r="B28" i="3"/>
  <c r="F26" i="3" l="1"/>
  <c r="G26" i="3"/>
  <c r="H26" i="3" s="1"/>
  <c r="C28" i="3"/>
  <c r="B29" i="3"/>
  <c r="D27" i="3"/>
  <c r="E27" i="3"/>
  <c r="B30" i="3" l="1"/>
  <c r="C29" i="3"/>
  <c r="D28" i="3"/>
  <c r="E28" i="3"/>
  <c r="G27" i="3"/>
  <c r="H27" i="3" s="1"/>
  <c r="F27" i="3"/>
  <c r="E29" i="3" l="1"/>
  <c r="D29" i="3"/>
  <c r="G28" i="3"/>
  <c r="H28" i="3" s="1"/>
  <c r="F28" i="3"/>
  <c r="B31" i="3"/>
  <c r="C30" i="3"/>
  <c r="E30" i="3" l="1"/>
  <c r="D30" i="3"/>
  <c r="C31" i="3"/>
  <c r="B32" i="3"/>
  <c r="G29" i="3"/>
  <c r="H29" i="3" s="1"/>
  <c r="F29" i="3"/>
  <c r="E31" i="3" l="1"/>
  <c r="D31" i="3"/>
  <c r="C32" i="3"/>
  <c r="B33" i="3"/>
  <c r="F30" i="3"/>
  <c r="G30" i="3"/>
  <c r="H30" i="3" s="1"/>
  <c r="G31" i="3" l="1"/>
  <c r="H31" i="3" s="1"/>
  <c r="F31" i="3"/>
  <c r="B34" i="3"/>
  <c r="C33" i="3"/>
  <c r="D32" i="3"/>
  <c r="E32" i="3"/>
  <c r="G32" i="3" l="1"/>
  <c r="H32" i="3" s="1"/>
  <c r="F32" i="3"/>
  <c r="E33" i="3"/>
  <c r="D33" i="3"/>
  <c r="B35" i="3"/>
  <c r="C34" i="3"/>
  <c r="G33" i="3" l="1"/>
  <c r="H33" i="3" s="1"/>
  <c r="F33" i="3"/>
  <c r="E34" i="3"/>
  <c r="D34" i="3"/>
  <c r="C35" i="3"/>
  <c r="B36" i="3"/>
  <c r="F34" i="3" l="1"/>
  <c r="G34" i="3"/>
  <c r="H34" i="3" s="1"/>
  <c r="C36" i="3"/>
  <c r="B37" i="3"/>
  <c r="E35" i="3"/>
  <c r="D35" i="3"/>
  <c r="B38" i="3" l="1"/>
  <c r="C37" i="3"/>
  <c r="D36" i="3"/>
  <c r="E36" i="3"/>
  <c r="G35" i="3"/>
  <c r="H35" i="3" s="1"/>
  <c r="F35" i="3"/>
  <c r="G36" i="3" l="1"/>
  <c r="H36" i="3" s="1"/>
  <c r="F36" i="3"/>
  <c r="E37" i="3"/>
  <c r="D37" i="3"/>
  <c r="B39" i="3"/>
  <c r="C38" i="3"/>
  <c r="G37" i="3" l="1"/>
  <c r="H37" i="3" s="1"/>
  <c r="F37" i="3"/>
  <c r="E38" i="3"/>
  <c r="D38" i="3"/>
  <c r="C39" i="3"/>
  <c r="B40" i="3"/>
  <c r="C40" i="3" s="1"/>
  <c r="F38" i="3" l="1"/>
  <c r="G38" i="3"/>
  <c r="H38" i="3" s="1"/>
  <c r="D40" i="3"/>
  <c r="E40" i="3"/>
  <c r="E39" i="3"/>
  <c r="D39" i="3"/>
  <c r="G12" i="2"/>
  <c r="G15" i="2" s="1"/>
  <c r="K38" i="2"/>
  <c r="K37" i="2"/>
  <c r="K39" i="2" l="1"/>
  <c r="G40" i="3"/>
  <c r="H40" i="3" s="1"/>
  <c r="F40" i="3"/>
  <c r="G39" i="3"/>
  <c r="H39" i="3" s="1"/>
  <c r="F39" i="3"/>
  <c r="K21" i="2"/>
  <c r="K24" i="2" l="1"/>
  <c r="K27" i="2" s="1"/>
  <c r="K26" i="2" l="1"/>
  <c r="K28" i="2" s="1"/>
  <c r="K30" i="2"/>
  <c r="K70" i="2" s="1"/>
  <c r="M70" i="2" l="1"/>
  <c r="K36" i="2"/>
  <c r="K31" i="2"/>
  <c r="M9" i="1" l="1"/>
  <c r="M11" i="1"/>
  <c r="M45" i="1"/>
  <c r="M14" i="1"/>
  <c r="M17" i="1"/>
  <c r="M50" i="1"/>
  <c r="M40" i="1"/>
  <c r="M26" i="1"/>
  <c r="M35" i="1"/>
  <c r="M20" i="1"/>
  <c r="M29" i="1"/>
  <c r="M23" i="1"/>
  <c r="M7" i="1"/>
  <c r="M33" i="1"/>
  <c r="M21" i="1"/>
  <c r="M15" i="1"/>
  <c r="M27" i="1"/>
  <c r="M12" i="1"/>
  <c r="M36" i="1"/>
  <c r="M46" i="1"/>
  <c r="M18" i="1"/>
  <c r="M30" i="1"/>
  <c r="M51" i="1"/>
  <c r="M24" i="1"/>
  <c r="M41" i="1"/>
  <c r="M22" i="1"/>
  <c r="M28" i="1"/>
  <c r="M34" i="1"/>
  <c r="M10" i="1"/>
  <c r="M16" i="1"/>
  <c r="M39" i="1"/>
  <c r="M44" i="1"/>
  <c r="M49" i="1"/>
  <c r="M19" i="1"/>
  <c r="M13" i="1"/>
  <c r="M8" i="1"/>
  <c r="M25" i="1"/>
  <c r="M31" i="1"/>
  <c r="M48" i="1"/>
  <c r="M43" i="1"/>
  <c r="M38" i="1"/>
  <c r="M42" i="1"/>
  <c r="M37" i="1"/>
  <c r="M47" i="1"/>
  <c r="M32" i="1"/>
  <c r="K41" i="2" s="1"/>
  <c r="K44" i="2" l="1"/>
  <c r="K49" i="2" s="1"/>
  <c r="K43" i="2"/>
  <c r="K66" i="2" l="1"/>
  <c r="M66" i="2"/>
  <c r="M54" i="2"/>
  <c r="M55" i="2" s="1"/>
  <c r="M56" i="2" s="1"/>
  <c r="K54" i="2"/>
  <c r="K55" i="2" s="1"/>
  <c r="K56" i="2" s="1"/>
  <c r="M57" i="2" l="1"/>
  <c r="K57" i="2"/>
  <c r="K58" i="2" l="1"/>
  <c r="K60" i="2" s="1"/>
  <c r="K67" i="2" s="1"/>
  <c r="K68" i="2" s="1"/>
  <c r="K72" i="2" s="1"/>
  <c r="M58" i="2"/>
  <c r="M60" i="2" s="1"/>
  <c r="M67" i="2" s="1"/>
  <c r="M68" i="2" s="1"/>
  <c r="M72" i="2" s="1"/>
  <c r="L82" i="2" l="1"/>
  <c r="B78" i="2"/>
  <c r="M73" i="2"/>
  <c r="M80" i="2" s="1"/>
  <c r="B80" i="2"/>
  <c r="K73" i="2"/>
  <c r="M78" i="2" l="1"/>
</calcChain>
</file>

<file path=xl/sharedStrings.xml><?xml version="1.0" encoding="utf-8"?>
<sst xmlns="http://schemas.openxmlformats.org/spreadsheetml/2006/main" count="238" uniqueCount="178">
  <si>
    <t>4.OG mitte - HS 1</t>
  </si>
  <si>
    <t>EG mitte - HS 1</t>
  </si>
  <si>
    <t>EG mitte - HS 1a</t>
  </si>
  <si>
    <t>6.OG mitte - HS 1a</t>
  </si>
  <si>
    <t>1.OG mitte - HS 1</t>
  </si>
  <si>
    <t>1.OG mitte - HS 1a</t>
  </si>
  <si>
    <t>7.OG mitte - HS 1a</t>
  </si>
  <si>
    <t>5.OG mitte - HS 1a</t>
  </si>
  <si>
    <t>3.OG mitte - HS 1</t>
  </si>
  <si>
    <t>4.OG mitte - HS 1a</t>
  </si>
  <si>
    <t>2.OG mitte - HS 1</t>
  </si>
  <si>
    <t>3.OG mitte - HS 1a</t>
  </si>
  <si>
    <t>2.OG mitte - HS 1a</t>
  </si>
  <si>
    <t>EG rechts - HS 1</t>
  </si>
  <si>
    <t>4.OG rechts - HS 1</t>
  </si>
  <si>
    <t>2.OG rechts - HS 1</t>
  </si>
  <si>
    <t>1.OG rechts - HS 1</t>
  </si>
  <si>
    <t>3.OG rechts - HS 1</t>
  </si>
  <si>
    <t>EG rechts - HS 1a</t>
  </si>
  <si>
    <t>4.OG rechts - HS 1a</t>
  </si>
  <si>
    <t>6.OG rechts - HS 1a</t>
  </si>
  <si>
    <t>1.OG rechts - HS 1a</t>
  </si>
  <si>
    <t>3.OG rechts - HS 1a</t>
  </si>
  <si>
    <t>7.OG rechts - HS 1a</t>
  </si>
  <si>
    <t>2.OG rechts - HS 1a</t>
  </si>
  <si>
    <t>5.OG rechts - HS 1a</t>
  </si>
  <si>
    <t>2.OG links - HS 1a</t>
  </si>
  <si>
    <t>3.OG links - HS 1a</t>
  </si>
  <si>
    <t>4.OG links - HS 1a</t>
  </si>
  <si>
    <t>EG links - HS 1a</t>
  </si>
  <si>
    <t>1.OG links - HS 1a</t>
  </si>
  <si>
    <t>5.OG links - HS 1a</t>
  </si>
  <si>
    <t>6.OG links - HS 1a</t>
  </si>
  <si>
    <t>7.OG links - HS 1a</t>
  </si>
  <si>
    <t>2.OG links - HS 1</t>
  </si>
  <si>
    <t>1.OG links - HS 1</t>
  </si>
  <si>
    <t>EG links - HS 1</t>
  </si>
  <si>
    <t>3.OG links - HS 1</t>
  </si>
  <si>
    <t>4.OG links - HS 1</t>
  </si>
  <si>
    <t>7.OG rechts - HS 1</t>
  </si>
  <si>
    <t>6.OG rechts - HS 1</t>
  </si>
  <si>
    <t>5.OG rechts - HS 1</t>
  </si>
  <si>
    <t>6.OG links - HS 1</t>
  </si>
  <si>
    <t>5.OG links - HS 1</t>
  </si>
  <si>
    <t>7.OG links - HS 1</t>
  </si>
  <si>
    <t>modernisiert klein</t>
  </si>
  <si>
    <t>Fläche</t>
  </si>
  <si>
    <t>Kategorie</t>
  </si>
  <si>
    <t>Kaufpreis Wohnung</t>
  </si>
  <si>
    <t>WEG-Rücklage (Sanierung)</t>
  </si>
  <si>
    <t>Gesamtkaufpreis inkl. TG + Rücklage</t>
  </si>
  <si>
    <t>Lage</t>
  </si>
  <si>
    <t>Kaufpreis TG-Stellplatz</t>
  </si>
  <si>
    <t>Kaufpreis TG-Stellpl.</t>
  </si>
  <si>
    <t>Mietpool-Aussch. WE</t>
  </si>
  <si>
    <t>MP-Aussch. TG</t>
  </si>
  <si>
    <t>MP-Auss. mtl. WE+TG</t>
  </si>
  <si>
    <t>4.15</t>
  </si>
  <si>
    <t>0.04</t>
  </si>
  <si>
    <t xml:space="preserve">0.24 </t>
  </si>
  <si>
    <t>6.42</t>
  </si>
  <si>
    <t>1.06</t>
  </si>
  <si>
    <t>1.27</t>
  </si>
  <si>
    <t>7.45</t>
  </si>
  <si>
    <t xml:space="preserve">5.39 </t>
  </si>
  <si>
    <t>3.12</t>
  </si>
  <si>
    <t>4.36</t>
  </si>
  <si>
    <t>2.09</t>
  </si>
  <si>
    <t>3.33</t>
  </si>
  <si>
    <t>2.30</t>
  </si>
  <si>
    <t>0.02</t>
  </si>
  <si>
    <t>4.16</t>
  </si>
  <si>
    <t>2.10</t>
  </si>
  <si>
    <t>1.07</t>
  </si>
  <si>
    <t>3.13</t>
  </si>
  <si>
    <t>0.25</t>
  </si>
  <si>
    <t xml:space="preserve">4.37 </t>
  </si>
  <si>
    <t>6.43</t>
  </si>
  <si>
    <t>1.28</t>
  </si>
  <si>
    <t>3.34</t>
  </si>
  <si>
    <t>7.46</t>
  </si>
  <si>
    <t>2.31</t>
  </si>
  <si>
    <t>5.40</t>
  </si>
  <si>
    <t>2.29</t>
  </si>
  <si>
    <t>3.32</t>
  </si>
  <si>
    <t>4.35</t>
  </si>
  <si>
    <t>0.23</t>
  </si>
  <si>
    <t>1.26</t>
  </si>
  <si>
    <t>5.38</t>
  </si>
  <si>
    <t>6.41</t>
  </si>
  <si>
    <t>7.44</t>
  </si>
  <si>
    <t>2.08</t>
  </si>
  <si>
    <t>1.05</t>
  </si>
  <si>
    <t>0.03</t>
  </si>
  <si>
    <t>3.11</t>
  </si>
  <si>
    <t>4.14</t>
  </si>
  <si>
    <t>7.22</t>
  </si>
  <si>
    <t>6.20</t>
  </si>
  <si>
    <t>5.18</t>
  </si>
  <si>
    <t>6.19</t>
  </si>
  <si>
    <t>5.17</t>
  </si>
  <si>
    <t>7.21</t>
  </si>
  <si>
    <t>WE-Nr.</t>
  </si>
  <si>
    <t>Objektdaten</t>
  </si>
  <si>
    <t>Wohnungsnummer</t>
  </si>
  <si>
    <t>Zuführung Rücklage WE (für Sanierungsmaßnahmen)</t>
  </si>
  <si>
    <t>Notar- und Grundbuchkosten</t>
  </si>
  <si>
    <t>Gesamtkaufpreis</t>
  </si>
  <si>
    <t>Grunderwerbssteuer</t>
  </si>
  <si>
    <t>Gesamtaufwand</t>
  </si>
  <si>
    <t>vom Gesamtkaufpreis</t>
  </si>
  <si>
    <t>Eigenkapitalbedarf</t>
  </si>
  <si>
    <t>Fremdkapitalbedarf (Bank)</t>
  </si>
  <si>
    <t>Ermittlung Finanzierungsbedarf</t>
  </si>
  <si>
    <t>Jährliche Zinsbelastung</t>
  </si>
  <si>
    <t>p.a.</t>
  </si>
  <si>
    <t>brutto mtl.</t>
  </si>
  <si>
    <t>Jährliche Gebühren WEG-Verwaltung</t>
  </si>
  <si>
    <t>Jährliche Gebühren Mietpoolverwaltung (Servicepaket)</t>
  </si>
  <si>
    <t>Jährliche Zuführung Instandhaltungsrücklage Gemeinschaftseigentum</t>
  </si>
  <si>
    <t>pro m² mtl.</t>
  </si>
  <si>
    <t>Jährliche Mieteinnahme Wohnung &amp; TG-Stellplatz (Mietpoolausschüttung)</t>
  </si>
  <si>
    <t>Jährlicher Aufwand (-) / Ertrag (+) vor Steuern &amp; Tilgung</t>
  </si>
  <si>
    <t>(nur steuerliche relevante Werte berücksichtigt)</t>
  </si>
  <si>
    <t>Kundendaten</t>
  </si>
  <si>
    <t>zu versteuerndes Einkommen</t>
  </si>
  <si>
    <t>Familienstand</t>
  </si>
  <si>
    <t>Betrachtung Einnahmen (+) /Ausgaben (-)  VOR Steuern und VOR Tilgung</t>
  </si>
  <si>
    <t>Jährliche Abschreibung Gebäudeanteil</t>
  </si>
  <si>
    <t>Gebäudeant.</t>
  </si>
  <si>
    <t xml:space="preserve">Jährlich abzugsfähige Erhaltungsaufwendungen </t>
  </si>
  <si>
    <t>Zu versteuerndes Einkommen nach Immobilienerwerb</t>
  </si>
  <si>
    <t>(Jahr 1-3)</t>
  </si>
  <si>
    <r>
      <t>2024</t>
    </r>
    <r>
      <rPr>
        <i/>
        <sz val="11"/>
        <color theme="1"/>
        <rFont val="Aptos Narrow"/>
        <family val="2"/>
        <scheme val="minor"/>
      </rPr>
      <t xml:space="preserve"> (Stand 25.11.2022)</t>
    </r>
  </si>
  <si>
    <t>Einkommensteuer</t>
  </si>
  <si>
    <t>Solidaritätszuschl.</t>
  </si>
  <si>
    <t>Summe (ESt. + Soli.)</t>
  </si>
  <si>
    <t>absolut</t>
  </si>
  <si>
    <t>in %</t>
  </si>
  <si>
    <t>Einkommenssteuerbelastung  nach Immobilienerwerb</t>
  </si>
  <si>
    <t>Jährliche Steuerersparnis</t>
  </si>
  <si>
    <t>ledig</t>
  </si>
  <si>
    <t>verheiratet</t>
  </si>
  <si>
    <t>Einkommenssteuerbelastung</t>
  </si>
  <si>
    <t>Solidaritätszuschlag</t>
  </si>
  <si>
    <t>Jährlicher Aufwand (-) / Ertrag (+) nach Steuern &amp; vor Tilgung</t>
  </si>
  <si>
    <t xml:space="preserve">Tilgung </t>
  </si>
  <si>
    <t>Ermittlung der steuerlichen Auswirkung des Immobilienerwerbs</t>
  </si>
  <si>
    <t>Solidaritätszuschlag nach Immobilienerwerb</t>
  </si>
  <si>
    <t>Jahr 1-3</t>
  </si>
  <si>
    <t>ab Jahr 4</t>
  </si>
  <si>
    <t>Tatsächlicher jährlicher Aufwand (-) / Ertrag (+) nach Steuern und Tilgung</t>
  </si>
  <si>
    <t>Tatsächlicher monatlicher Aufwand (-) / Ertrag (+) nach Steuern und Tilgung</t>
  </si>
  <si>
    <t>In der Beispielberechnung sind keine Mieterhöhungen und keine weiteren Investitionen aus der Instandhaltungsrürcklage (=steuerlich absetzbare Kosten) berücksichtigt.</t>
  </si>
  <si>
    <t>Berechnung des tatsächlichen Aufwands (-) / Ertrags (+) NACH Steuern und NACH Tilgung</t>
  </si>
  <si>
    <t>Kirchensteuer</t>
  </si>
  <si>
    <t>nein</t>
  </si>
  <si>
    <t>Steuerbelastung</t>
  </si>
  <si>
    <t>8 Prozent</t>
  </si>
  <si>
    <t>9 Prozent</t>
  </si>
  <si>
    <t>Kirchensteuer nach Immobilienerwerb</t>
  </si>
  <si>
    <t>Steuerbelastung nach Immobilienerwerb</t>
  </si>
  <si>
    <t>Berechnungsbeispiel CO // LIVING</t>
  </si>
  <si>
    <t>Nach der vorliegenden Beispielrechnung läuft die Immobilienfinanzierung kostenneutral über einen Zeitraum von</t>
  </si>
  <si>
    <t>Jahren kostenneutral</t>
  </si>
  <si>
    <t>ZUSAMMENFASSUNG</t>
  </si>
  <si>
    <t>Wohnfläche:</t>
  </si>
  <si>
    <t>Kategorie:</t>
  </si>
  <si>
    <t>Kaufpreis pro m²:</t>
  </si>
  <si>
    <t>Zuführung Rücklage pro m²:</t>
  </si>
  <si>
    <t>Bestand klein</t>
  </si>
  <si>
    <t>Kaupreis/m²</t>
  </si>
  <si>
    <t>-</t>
  </si>
  <si>
    <r>
      <rPr>
        <b/>
        <sz val="10"/>
        <rFont val="Aptos Narrow"/>
        <family val="2"/>
        <scheme val="minor"/>
      </rPr>
      <t>HAFTUNGSAUSSCHLUSS</t>
    </r>
    <r>
      <rPr>
        <sz val="10"/>
        <rFont val="Aptos Narrow"/>
        <family val="2"/>
        <scheme val="minor"/>
      </rPr>
      <t xml:space="preserve">
Die Berechnung zeigt einen exemplarischen Investitionsfall anhand der von Ihnen individuell angegebenen Daten. Für die Berechnung wurde bestimmte Annahme zugrunde gelegt, für deren Eintritt und deren Aktualität keine Garantie und keine Haftung übernommen werden kann.
Insbesondere kann Haftung und keine Gewähr übernommen werden für Rechenfehler, Änderungen im (Einkommens-) Steuerrecht, Schwankungen der Zins- und Finanzierungskonditionen sowie für Änderungen der Einkommensverhältnisse des dieser Berechnung zugrunde gelegten (Muster-) Kunden.
Die Berechnung ersetzt in keinem Fall eine steuerliche oder rechtliche Beratung. Es wird empfohlen, sich individuell von entsprechenden Berufsträgern beraten zu lassen.</t>
    </r>
  </si>
  <si>
    <t>CO // LIVING - vorläufige Kaufpreisliste</t>
  </si>
  <si>
    <t>(Stand 25.11.2024, Änderungen vorbehalten)</t>
  </si>
  <si>
    <t>Bestand</t>
  </si>
  <si>
    <t>modernisiert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</si>
</sst>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43" formatCode="_-* #,##0.00_-;\-* #,##0.00_-;_-* &quot;-&quot;??_-;_-@_-"/>
    <numFmt numFmtId="164" formatCode="_-* #,##0.00\ [$€-407]_-;\-* #,##0.00\ [$€-407]_-;_-* &quot;-&quot;??\ [$€-407]_-;_-@_-"/>
    <numFmt numFmtId="165" formatCode="0.00\ &quot;m²&quot;"/>
    <numFmt numFmtId="166" formatCode="#,##0.00_ ;\-#,##0.00\ "/>
  </numFmts>
  <fonts count="17"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0"/>
      <name val="Arial"/>
      <family val="2"/>
    </font>
    <font>
      <b/>
      <sz val="12"/>
      <color theme="0"/>
      <name val="Aptos Narrow"/>
      <family val="2"/>
      <scheme val="minor"/>
    </font>
    <font>
      <b/>
      <sz val="14"/>
      <color theme="1"/>
      <name val="Aptos Narrow"/>
      <family val="2"/>
      <scheme val="minor"/>
    </font>
    <font>
      <i/>
      <sz val="11"/>
      <color theme="1"/>
      <name val="Aptos Narrow"/>
      <family val="2"/>
      <scheme val="minor"/>
    </font>
    <font>
      <sz val="12"/>
      <color theme="0"/>
      <name val="Aptos Narrow"/>
      <family val="2"/>
      <scheme val="minor"/>
    </font>
    <font>
      <sz val="12"/>
      <color theme="1"/>
      <name val="Aptos Narrow"/>
      <family val="2"/>
      <scheme val="minor"/>
    </font>
    <font>
      <b/>
      <sz val="12"/>
      <color theme="1"/>
      <name val="Aptos Narrow"/>
      <family val="2"/>
      <scheme val="minor"/>
    </font>
    <font>
      <b/>
      <sz val="20"/>
      <color theme="0"/>
      <name val="Aptos Narrow"/>
      <family val="2"/>
      <scheme val="minor"/>
    </font>
    <font>
      <b/>
      <sz val="14"/>
      <color theme="0"/>
      <name val="Aptos Narrow"/>
      <family val="2"/>
      <scheme val="minor"/>
    </font>
    <font>
      <sz val="10"/>
      <name val="Aptos Narrow"/>
      <family val="2"/>
      <scheme val="minor"/>
    </font>
    <font>
      <b/>
      <sz val="10"/>
      <name val="Aptos Narrow"/>
      <family val="2"/>
      <scheme val="minor"/>
    </font>
    <font>
      <b/>
      <sz val="18"/>
      <color theme="1"/>
      <name val="Aptos Narrow"/>
      <family val="2"/>
      <scheme val="minor"/>
    </font>
  </fonts>
  <fills count="8">
    <fill>
      <patternFill patternType="none"/>
    </fill>
    <fill>
      <patternFill patternType="gray125"/>
    </fill>
    <fill>
      <patternFill patternType="solid">
        <fgColor rgb="FFF26E44"/>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565758"/>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rgb="FFF26E44"/>
      </right>
      <top/>
      <bottom/>
      <diagonal/>
    </border>
    <border>
      <left/>
      <right style="thin">
        <color indexed="64"/>
      </right>
      <top style="thin">
        <color indexed="64"/>
      </top>
      <bottom/>
      <diagonal/>
    </border>
    <border>
      <left/>
      <right style="thin">
        <color indexed="64"/>
      </right>
      <top/>
      <bottom/>
      <diagonal/>
    </border>
    <border>
      <left style="thin">
        <color rgb="FFF26E44"/>
      </left>
      <right style="thin">
        <color rgb="FFF26E44"/>
      </right>
      <top style="thin">
        <color rgb="FFF26E44"/>
      </top>
      <bottom style="thin">
        <color rgb="FFF26E44"/>
      </bottom>
      <diagonal/>
    </border>
    <border>
      <left style="thin">
        <color rgb="FFF26E44"/>
      </left>
      <right/>
      <top style="thin">
        <color rgb="FFF26E44"/>
      </top>
      <bottom/>
      <diagonal/>
    </border>
    <border>
      <left/>
      <right/>
      <top style="thin">
        <color rgb="FFF26E44"/>
      </top>
      <bottom/>
      <diagonal/>
    </border>
    <border>
      <left/>
      <right style="thin">
        <color rgb="FFF26E44"/>
      </right>
      <top style="thin">
        <color rgb="FFF26E44"/>
      </top>
      <bottom/>
      <diagonal/>
    </border>
    <border>
      <left style="thin">
        <color rgb="FFF26E44"/>
      </left>
      <right/>
      <top/>
      <bottom/>
      <diagonal/>
    </border>
    <border>
      <left style="thin">
        <color rgb="FFF26E44"/>
      </left>
      <right/>
      <top/>
      <bottom style="thin">
        <color rgb="FFF26E44"/>
      </bottom>
      <diagonal/>
    </border>
    <border>
      <left/>
      <right/>
      <top/>
      <bottom style="thin">
        <color rgb="FFF26E44"/>
      </bottom>
      <diagonal/>
    </border>
    <border>
      <left/>
      <right style="thin">
        <color rgb="FFF26E44"/>
      </right>
      <top/>
      <bottom style="thin">
        <color rgb="FFF26E4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cellStyleXfs>
  <cellXfs count="120">
    <xf numFmtId="0" fontId="0" fillId="0" borderId="0" xfId="0"/>
    <xf numFmtId="43" fontId="0" fillId="0" borderId="0" xfId="0" applyNumberFormat="1"/>
    <xf numFmtId="8" fontId="0" fillId="0" borderId="0" xfId="0" applyNumberFormat="1"/>
    <xf numFmtId="0" fontId="0" fillId="0" borderId="0" xfId="0" applyAlignment="1">
      <alignment horizontal="center"/>
    </xf>
    <xf numFmtId="8" fontId="0" fillId="0" borderId="0" xfId="0" applyNumberFormat="1" applyAlignment="1">
      <alignment horizontal="center"/>
    </xf>
    <xf numFmtId="44" fontId="0" fillId="0" borderId="0" xfId="1" applyFont="1"/>
    <xf numFmtId="0" fontId="0" fillId="0" borderId="0" xfId="0" applyAlignment="1">
      <alignment horizontal="right"/>
    </xf>
    <xf numFmtId="164" fontId="0" fillId="0" borderId="0" xfId="0" applyNumberFormat="1" applyAlignment="1">
      <alignment horizontal="right"/>
    </xf>
    <xf numFmtId="49" fontId="0" fillId="0" borderId="0" xfId="0" applyNumberFormat="1"/>
    <xf numFmtId="0" fontId="3" fillId="0" borderId="0" xfId="0" applyFont="1" applyAlignment="1">
      <alignment horizontal="center"/>
    </xf>
    <xf numFmtId="0" fontId="7" fillId="3" borderId="0" xfId="0" applyFont="1" applyFill="1" applyAlignment="1">
      <alignment horizontal="left"/>
    </xf>
    <xf numFmtId="0" fontId="0" fillId="3" borderId="0" xfId="0" applyFill="1"/>
    <xf numFmtId="0" fontId="0" fillId="0" borderId="0" xfId="0" applyAlignment="1">
      <alignment wrapText="1"/>
    </xf>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44" fontId="1" fillId="0" borderId="6" xfId="1" applyFont="1" applyFill="1" applyBorder="1"/>
    <xf numFmtId="44" fontId="1" fillId="0" borderId="1" xfId="1" applyFont="1" applyFill="1" applyBorder="1"/>
    <xf numFmtId="9" fontId="1" fillId="0" borderId="2" xfId="2" applyFont="1" applyFill="1" applyBorder="1" applyProtection="1"/>
    <xf numFmtId="44" fontId="1" fillId="0" borderId="7" xfId="1" applyFont="1" applyFill="1" applyBorder="1"/>
    <xf numFmtId="44" fontId="1" fillId="0" borderId="8" xfId="1" applyFont="1" applyFill="1" applyBorder="1"/>
    <xf numFmtId="9" fontId="1" fillId="0" borderId="9" xfId="2" applyFont="1" applyFill="1" applyBorder="1" applyProtection="1"/>
    <xf numFmtId="44" fontId="1" fillId="0" borderId="10" xfId="1" applyFont="1" applyFill="1" applyBorder="1"/>
    <xf numFmtId="9" fontId="1" fillId="0" borderId="11" xfId="2" applyFont="1" applyFill="1" applyBorder="1" applyProtection="1"/>
    <xf numFmtId="44" fontId="1" fillId="0" borderId="12" xfId="1" applyFont="1" applyFill="1" applyBorder="1"/>
    <xf numFmtId="9" fontId="0" fillId="0" borderId="0" xfId="0" applyNumberFormat="1" applyAlignment="1">
      <alignment horizontal="left"/>
    </xf>
    <xf numFmtId="0" fontId="3" fillId="0" borderId="0" xfId="0" applyFont="1" applyAlignment="1">
      <alignment horizontal="left"/>
    </xf>
    <xf numFmtId="0" fontId="0" fillId="0" borderId="0" xfId="0" applyAlignment="1">
      <alignment horizontal="left"/>
    </xf>
    <xf numFmtId="164" fontId="0" fillId="0" borderId="0" xfId="0" applyNumberFormat="1" applyAlignment="1">
      <alignment horizontal="left"/>
    </xf>
    <xf numFmtId="8" fontId="0" fillId="0" borderId="0" xfId="0" applyNumberFormat="1" applyAlignment="1">
      <alignment horizontal="right"/>
    </xf>
    <xf numFmtId="0" fontId="16" fillId="0" borderId="0" xfId="0" applyFont="1"/>
    <xf numFmtId="0" fontId="0" fillId="4" borderId="1" xfId="0" applyFill="1" applyBorder="1" applyAlignment="1">
      <alignment horizontal="center" wrapText="1"/>
    </xf>
    <xf numFmtId="0" fontId="0" fillId="4" borderId="2" xfId="0" applyFill="1" applyBorder="1" applyAlignment="1">
      <alignment horizontal="center" wrapText="1"/>
    </xf>
    <xf numFmtId="0" fontId="6" fillId="7" borderId="17" xfId="0" applyFont="1" applyFill="1" applyBorder="1" applyProtection="1">
      <protection locked="0"/>
    </xf>
    <xf numFmtId="44" fontId="6" fillId="7" borderId="17" xfId="1" applyFont="1" applyFill="1" applyBorder="1" applyProtection="1">
      <protection locked="0"/>
    </xf>
    <xf numFmtId="9" fontId="6" fillId="7" borderId="17" xfId="0" applyNumberFormat="1" applyFont="1" applyFill="1" applyBorder="1" applyProtection="1">
      <protection locked="0"/>
    </xf>
    <xf numFmtId="10" fontId="6" fillId="7" borderId="17" xfId="0" applyNumberFormat="1" applyFont="1" applyFill="1" applyBorder="1" applyProtection="1">
      <protection locked="0"/>
    </xf>
    <xf numFmtId="0" fontId="0" fillId="3" borderId="14" xfId="0" applyFill="1" applyBorder="1" applyProtection="1"/>
    <xf numFmtId="0" fontId="10" fillId="5" borderId="0" xfId="0" applyFont="1" applyFill="1" applyProtection="1"/>
    <xf numFmtId="44" fontId="10" fillId="5" borderId="16" xfId="0" applyNumberFormat="1" applyFont="1" applyFill="1" applyBorder="1" applyProtection="1"/>
    <xf numFmtId="44" fontId="10" fillId="5" borderId="0" xfId="0" applyNumberFormat="1" applyFont="1" applyFill="1" applyProtection="1"/>
    <xf numFmtId="0" fontId="10" fillId="5" borderId="16" xfId="0" applyFont="1" applyFill="1" applyBorder="1" applyProtection="1"/>
    <xf numFmtId="0" fontId="10" fillId="5" borderId="14" xfId="0" applyFont="1" applyFill="1" applyBorder="1" applyProtection="1"/>
    <xf numFmtId="0" fontId="0" fillId="3" borderId="0" xfId="0" applyFill="1" applyProtection="1"/>
    <xf numFmtId="0" fontId="0" fillId="0" borderId="0" xfId="0" applyProtection="1"/>
    <xf numFmtId="0" fontId="6" fillId="2" borderId="0" xfId="0" applyFont="1" applyFill="1" applyProtection="1"/>
    <xf numFmtId="44" fontId="6" fillId="2" borderId="16" xfId="0" applyNumberFormat="1" applyFont="1" applyFill="1" applyBorder="1" applyProtection="1"/>
    <xf numFmtId="44" fontId="6" fillId="2" borderId="0" xfId="0" applyNumberFormat="1" applyFont="1" applyFill="1" applyProtection="1"/>
    <xf numFmtId="0" fontId="9" fillId="2" borderId="0" xfId="0" applyFont="1" applyFill="1" applyProtection="1"/>
    <xf numFmtId="44" fontId="9" fillId="2" borderId="16" xfId="0" applyNumberFormat="1" applyFont="1" applyFill="1" applyBorder="1" applyProtection="1"/>
    <xf numFmtId="44" fontId="9" fillId="2" borderId="0" xfId="0" applyNumberFormat="1" applyFont="1" applyFill="1" applyProtection="1"/>
    <xf numFmtId="0" fontId="4" fillId="3" borderId="0" xfId="0" applyFont="1" applyFill="1" applyProtection="1"/>
    <xf numFmtId="0" fontId="2" fillId="3" borderId="0" xfId="0" applyFont="1" applyFill="1" applyProtection="1"/>
    <xf numFmtId="44" fontId="4" fillId="3" borderId="0" xfId="0" applyNumberFormat="1" applyFont="1" applyFill="1" applyProtection="1"/>
    <xf numFmtId="0" fontId="13" fillId="2" borderId="0" xfId="0" applyFont="1" applyFill="1" applyAlignment="1" applyProtection="1">
      <alignment horizontal="center"/>
    </xf>
    <xf numFmtId="0" fontId="9" fillId="6" borderId="0" xfId="0" applyFont="1" applyFill="1" applyProtection="1"/>
    <xf numFmtId="0" fontId="10" fillId="6" borderId="0" xfId="0" applyFont="1" applyFill="1" applyProtection="1"/>
    <xf numFmtId="0" fontId="10" fillId="6" borderId="14" xfId="0" applyFont="1" applyFill="1" applyBorder="1" applyProtection="1"/>
    <xf numFmtId="0" fontId="6" fillId="6" borderId="0" xfId="0" applyFont="1" applyFill="1" applyProtection="1"/>
    <xf numFmtId="44" fontId="6" fillId="6" borderId="0" xfId="0" applyNumberFormat="1" applyFont="1" applyFill="1" applyAlignment="1" applyProtection="1">
      <alignment horizontal="center"/>
    </xf>
    <xf numFmtId="44" fontId="6" fillId="6" borderId="14" xfId="0" applyNumberFormat="1" applyFont="1" applyFill="1" applyBorder="1" applyProtection="1"/>
    <xf numFmtId="44" fontId="6" fillId="6" borderId="0" xfId="0" applyNumberFormat="1" applyFont="1" applyFill="1" applyProtection="1"/>
    <xf numFmtId="166" fontId="6" fillId="6" borderId="0" xfId="0" applyNumberFormat="1" applyFont="1" applyFill="1" applyAlignment="1" applyProtection="1">
      <alignment horizontal="center"/>
    </xf>
    <xf numFmtId="0" fontId="9" fillId="6" borderId="14" xfId="0" applyFont="1" applyFill="1" applyBorder="1" applyProtection="1"/>
    <xf numFmtId="0" fontId="9" fillId="6" borderId="0" xfId="0" applyFont="1" applyFill="1" applyAlignment="1" applyProtection="1">
      <alignment horizontal="center"/>
    </xf>
    <xf numFmtId="0" fontId="9" fillId="6" borderId="14" xfId="0" applyFont="1" applyFill="1" applyBorder="1" applyAlignment="1" applyProtection="1">
      <alignment horizontal="center"/>
    </xf>
    <xf numFmtId="0" fontId="9" fillId="6" borderId="22" xfId="0" applyFont="1" applyFill="1" applyBorder="1" applyProtection="1"/>
    <xf numFmtId="0" fontId="9" fillId="6" borderId="23" xfId="0" applyFont="1" applyFill="1" applyBorder="1" applyProtection="1"/>
    <xf numFmtId="0" fontId="9" fillId="6" borderId="24" xfId="0" applyFont="1" applyFill="1" applyBorder="1" applyProtection="1"/>
    <xf numFmtId="0" fontId="14" fillId="3" borderId="18" xfId="0"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wrapText="1"/>
    </xf>
    <xf numFmtId="0" fontId="14" fillId="3" borderId="20" xfId="0" applyFont="1" applyFill="1" applyBorder="1" applyAlignment="1" applyProtection="1">
      <alignment horizontal="center" vertical="center" wrapText="1"/>
    </xf>
    <xf numFmtId="0" fontId="14" fillId="3" borderId="21" xfId="0" applyFont="1" applyFill="1" applyBorder="1" applyAlignment="1" applyProtection="1">
      <alignment horizontal="center" vertical="center" wrapText="1"/>
    </xf>
    <xf numFmtId="0" fontId="14" fillId="3" borderId="0" xfId="0" applyFont="1" applyFill="1" applyAlignment="1" applyProtection="1">
      <alignment horizontal="center" vertical="center" wrapText="1"/>
    </xf>
    <xf numFmtId="0" fontId="14" fillId="3" borderId="14" xfId="0" applyFont="1" applyFill="1" applyBorder="1" applyAlignment="1" applyProtection="1">
      <alignment horizontal="center" vertical="center" wrapText="1"/>
    </xf>
    <xf numFmtId="0" fontId="14" fillId="3" borderId="22" xfId="0" applyFont="1" applyFill="1" applyBorder="1" applyAlignment="1" applyProtection="1">
      <alignment horizontal="center" vertical="center" wrapText="1"/>
    </xf>
    <xf numFmtId="0" fontId="14" fillId="3" borderId="23"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1" fillId="5" borderId="0" xfId="0" applyFont="1" applyFill="1" applyProtection="1"/>
    <xf numFmtId="44" fontId="11" fillId="5" borderId="16" xfId="0" applyNumberFormat="1" applyFont="1" applyFill="1" applyBorder="1" applyProtection="1"/>
    <xf numFmtId="44" fontId="11" fillId="5" borderId="0" xfId="0" applyNumberFormat="1" applyFont="1" applyFill="1" applyProtection="1"/>
    <xf numFmtId="0" fontId="10" fillId="5" borderId="22" xfId="0" applyFont="1" applyFill="1" applyBorder="1" applyProtection="1"/>
    <xf numFmtId="0" fontId="10" fillId="5" borderId="23" xfId="0" applyFont="1" applyFill="1" applyBorder="1" applyProtection="1"/>
    <xf numFmtId="0" fontId="10" fillId="5" borderId="24" xfId="0" applyFont="1" applyFill="1" applyBorder="1" applyProtection="1"/>
    <xf numFmtId="10" fontId="10" fillId="5" borderId="0" xfId="0" applyNumberFormat="1" applyFont="1" applyFill="1" applyProtection="1"/>
    <xf numFmtId="0" fontId="10" fillId="5" borderId="0" xfId="0" applyFont="1" applyFill="1" applyAlignment="1" applyProtection="1">
      <alignment horizontal="right"/>
    </xf>
    <xf numFmtId="44" fontId="10" fillId="5" borderId="0" xfId="1" applyFont="1" applyFill="1" applyProtection="1"/>
    <xf numFmtId="0" fontId="11" fillId="5" borderId="22" xfId="0" applyFont="1" applyFill="1" applyBorder="1" applyProtection="1"/>
    <xf numFmtId="0" fontId="11" fillId="5" borderId="23" xfId="0" applyFont="1" applyFill="1" applyBorder="1" applyProtection="1"/>
    <xf numFmtId="44" fontId="11" fillId="5" borderId="23" xfId="0" applyNumberFormat="1" applyFont="1" applyFill="1" applyBorder="1" applyProtection="1"/>
    <xf numFmtId="9" fontId="10" fillId="5" borderId="0" xfId="0" applyNumberFormat="1" applyFont="1" applyFill="1" applyProtection="1"/>
    <xf numFmtId="10" fontId="10" fillId="5" borderId="0" xfId="2" applyNumberFormat="1" applyFont="1" applyFill="1" applyProtection="1"/>
    <xf numFmtId="0" fontId="11" fillId="5" borderId="13" xfId="0" applyFont="1" applyFill="1" applyBorder="1" applyAlignment="1" applyProtection="1">
      <alignment horizontal="right"/>
    </xf>
    <xf numFmtId="44" fontId="10" fillId="5" borderId="15" xfId="0" applyNumberFormat="1" applyFont="1" applyFill="1" applyBorder="1" applyProtection="1"/>
    <xf numFmtId="44" fontId="10" fillId="5" borderId="16" xfId="1" applyFont="1" applyFill="1" applyBorder="1" applyProtection="1"/>
    <xf numFmtId="44" fontId="10" fillId="5" borderId="0" xfId="1" applyFont="1" applyFill="1" applyBorder="1" applyProtection="1"/>
    <xf numFmtId="0" fontId="11" fillId="5" borderId="14" xfId="0" applyFont="1" applyFill="1" applyBorder="1" applyProtection="1"/>
    <xf numFmtId="0" fontId="0" fillId="5" borderId="0" xfId="0" applyFill="1" applyProtection="1"/>
    <xf numFmtId="0" fontId="6" fillId="5" borderId="0" xfId="0" applyFont="1" applyFill="1" applyProtection="1"/>
    <xf numFmtId="0" fontId="10" fillId="5" borderId="13" xfId="0" applyFont="1" applyFill="1" applyBorder="1" applyProtection="1"/>
    <xf numFmtId="44" fontId="10" fillId="5" borderId="13" xfId="1" applyFont="1" applyFill="1" applyBorder="1" applyProtection="1"/>
    <xf numFmtId="165" fontId="10" fillId="5" borderId="0" xfId="1" applyNumberFormat="1" applyFont="1" applyFill="1" applyProtection="1"/>
    <xf numFmtId="44" fontId="11" fillId="5" borderId="0" xfId="1" applyFont="1" applyFill="1" applyProtection="1"/>
    <xf numFmtId="0" fontId="0" fillId="3" borderId="0" xfId="0" applyFill="1" applyAlignment="1" applyProtection="1">
      <alignment wrapText="1"/>
    </xf>
    <xf numFmtId="0" fontId="6" fillId="5" borderId="23" xfId="0" applyFont="1" applyFill="1" applyBorder="1" applyProtection="1"/>
    <xf numFmtId="165" fontId="10" fillId="5" borderId="23" xfId="1" applyNumberFormat="1" applyFont="1" applyFill="1" applyBorder="1" applyProtection="1"/>
    <xf numFmtId="44" fontId="11" fillId="5" borderId="23" xfId="1" applyFont="1" applyFill="1" applyBorder="1" applyProtection="1"/>
    <xf numFmtId="44" fontId="10" fillId="5" borderId="23" xfId="1" applyFont="1" applyFill="1" applyBorder="1" applyProtection="1"/>
    <xf numFmtId="44" fontId="10" fillId="5" borderId="23" xfId="0" applyNumberFormat="1" applyFont="1" applyFill="1" applyBorder="1" applyProtection="1"/>
    <xf numFmtId="44" fontId="0" fillId="3" borderId="0" xfId="1" applyFont="1" applyFill="1" applyProtection="1"/>
    <xf numFmtId="10" fontId="10" fillId="5" borderId="13" xfId="0" applyNumberFormat="1" applyFont="1" applyFill="1" applyBorder="1" applyProtection="1"/>
    <xf numFmtId="44" fontId="10" fillId="5" borderId="13" xfId="0" applyNumberFormat="1" applyFont="1" applyFill="1" applyBorder="1" applyProtection="1"/>
    <xf numFmtId="165" fontId="10" fillId="5" borderId="0" xfId="1" applyNumberFormat="1" applyFont="1" applyFill="1" applyAlignment="1" applyProtection="1">
      <alignment horizontal="right"/>
    </xf>
    <xf numFmtId="0" fontId="10" fillId="5" borderId="0" xfId="1" applyNumberFormat="1" applyFont="1" applyFill="1" applyAlignment="1" applyProtection="1">
      <alignment horizontal="left"/>
    </xf>
    <xf numFmtId="0" fontId="12" fillId="2" borderId="0" xfId="0" applyFont="1" applyFill="1" applyAlignment="1" applyProtection="1">
      <alignment horizontal="center" vertical="center"/>
    </xf>
    <xf numFmtId="0" fontId="13" fillId="2" borderId="0" xfId="0" applyFont="1" applyFill="1" applyProtection="1"/>
    <xf numFmtId="0" fontId="2" fillId="2" borderId="0" xfId="0" applyFont="1" applyFill="1" applyProtection="1"/>
    <xf numFmtId="0" fontId="4" fillId="2" borderId="0" xfId="0" applyFont="1" applyFill="1" applyProtection="1"/>
    <xf numFmtId="0" fontId="9" fillId="5" borderId="0" xfId="0" applyFont="1" applyFill="1" applyProtection="1"/>
    <xf numFmtId="0" fontId="9" fillId="5" borderId="14" xfId="0" applyFont="1" applyFill="1" applyBorder="1" applyProtection="1"/>
  </cellXfs>
  <cellStyles count="5">
    <cellStyle name="Komma 2 3" xfId="4" xr:uid="{7EFA4CFB-9FDE-4C1E-ADC0-3C37CF294FC4}"/>
    <cellStyle name="Prozent" xfId="2" builtinId="5"/>
    <cellStyle name="Standard" xfId="0" builtinId="0"/>
    <cellStyle name="Standard 10 2" xfId="3" xr:uid="{645774A5-300E-41CE-A219-AA6F05D1C8BB}"/>
    <cellStyle name="Währung" xfId="1" builtinId="4"/>
  </cellStyles>
  <dxfs count="11">
    <dxf>
      <numFmt numFmtId="164" formatCode="_-* #,##0.00\ [$€-407]_-;\-* #,##0.00\ [$€-407]_-;_-* &quot;-&quot;??\ [$€-407]_-;_-@_-"/>
      <alignment horizontal="right" vertical="bottom" textRotation="0" wrapText="0" indent="0" justifyLastLine="0" shrinkToFit="0" readingOrder="0"/>
    </dxf>
    <dxf>
      <font>
        <b val="0"/>
        <i val="0"/>
        <strike val="0"/>
        <condense val="0"/>
        <extend val="0"/>
        <outline val="0"/>
        <shadow val="0"/>
        <u val="none"/>
        <vertAlign val="baseline"/>
        <sz val="11"/>
        <color theme="1"/>
        <name val="Aptos Narrow"/>
        <family val="2"/>
        <scheme val="minor"/>
      </font>
    </dxf>
    <dxf>
      <numFmt numFmtId="164" formatCode="_-* #,##0.00\ [$€-407]_-;\-* #,##0.00\ [$€-407]_-;_-* &quot;-&quot;??\ [$€-407]_-;_-@_-"/>
      <alignment horizontal="left" vertical="bottom" textRotation="0" wrapText="0" indent="0" justifyLastLine="0" shrinkToFit="0" readingOrder="0"/>
    </dxf>
    <dxf>
      <numFmt numFmtId="12" formatCode="#,##0.00\ &quot;€&quot;;[Red]\-#,##0.00\ &quot;€&quot;"/>
      <alignment horizontal="center" vertical="bottom" textRotation="0" wrapText="0" indent="0" justifyLastLine="0" shrinkToFit="0" readingOrder="0"/>
    </dxf>
    <dxf>
      <numFmt numFmtId="12" formatCode="#,##0.00\ &quot;€&quot;;[Red]\-#,##0.00\ &quot;€&quot;"/>
    </dxf>
    <dxf>
      <numFmt numFmtId="12" formatCode="#,##0.00\ &quot;€&quot;;[Red]\-#,##0.00\ &quot;€&quot;"/>
    </dxf>
    <dxf>
      <numFmt numFmtId="35" formatCode="_-* #,##0.00_-;\-* #,##0.00_-;_-* &quot;-&quot;??_-;_-@_-"/>
    </dxf>
    <dxf>
      <numFmt numFmtId="35" formatCode="_-* #,##0.00_-;\-* #,##0.00_-;_-* &quot;-&quot;??_-;_-@_-"/>
    </dxf>
    <dxf>
      <alignment horizontal="center" vertical="bottom" textRotation="0" wrapText="0" indent="0" justifyLastLine="0" shrinkToFit="0" readingOrder="0"/>
    </dxf>
    <dxf>
      <numFmt numFmtId="30" formatCode="@"/>
    </dxf>
    <dxf>
      <fill>
        <patternFill>
          <bgColor theme="0" tint="-4.9989318521683403E-2"/>
        </patternFill>
      </fill>
    </dxf>
  </dxfs>
  <tableStyles count="0" defaultTableStyle="TableStyleMedium2" defaultPivotStyle="PivotStyleLight16"/>
  <colors>
    <mruColors>
      <color rgb="FFF26E44"/>
      <color rgb="FF5657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1</xdr:row>
      <xdr:rowOff>76200</xdr:rowOff>
    </xdr:from>
    <xdr:to>
      <xdr:col>8</xdr:col>
      <xdr:colOff>904875</xdr:colOff>
      <xdr:row>4</xdr:row>
      <xdr:rowOff>22013</xdr:rowOff>
    </xdr:to>
    <xdr:pic>
      <xdr:nvPicPr>
        <xdr:cNvPr id="2" name="Grafik 1">
          <a:extLst>
            <a:ext uri="{FF2B5EF4-FFF2-40B4-BE49-F238E27FC236}">
              <a16:creationId xmlns:a16="http://schemas.microsoft.com/office/drawing/2014/main" id="{8D81E1A0-3BC6-4BC6-9DB0-30D14B912D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48350" y="266700"/>
          <a:ext cx="1790700" cy="517313"/>
        </a:xfrm>
        <a:prstGeom prst="rect">
          <a:avLst/>
        </a:prstGeom>
      </xdr:spPr>
    </xdr:pic>
    <xdr:clientData/>
  </xdr:twoCellAnchor>
  <xdr:twoCellAnchor>
    <xdr:from>
      <xdr:col>1</xdr:col>
      <xdr:colOff>238125</xdr:colOff>
      <xdr:row>80</xdr:row>
      <xdr:rowOff>180975</xdr:rowOff>
    </xdr:from>
    <xdr:to>
      <xdr:col>2</xdr:col>
      <xdr:colOff>628650</xdr:colOff>
      <xdr:row>82</xdr:row>
      <xdr:rowOff>47625</xdr:rowOff>
    </xdr:to>
    <xdr:sp macro="" textlink="">
      <xdr:nvSpPr>
        <xdr:cNvPr id="5" name="Pfeil: nach rechts 4">
          <a:extLst>
            <a:ext uri="{FF2B5EF4-FFF2-40B4-BE49-F238E27FC236}">
              <a16:creationId xmlns:a16="http://schemas.microsoft.com/office/drawing/2014/main" id="{B1213D5A-329E-FA45-435C-557C5DE5C855}"/>
            </a:ext>
          </a:extLst>
        </xdr:cNvPr>
        <xdr:cNvSpPr/>
      </xdr:nvSpPr>
      <xdr:spPr>
        <a:xfrm>
          <a:off x="657225" y="14668500"/>
          <a:ext cx="1152525" cy="266700"/>
        </a:xfrm>
        <a:prstGeom prst="rightArrow">
          <a:avLst/>
        </a:prstGeom>
        <a:solidFill>
          <a:srgbClr val="F26E44"/>
        </a:solidFill>
        <a:ln>
          <a:solidFill>
            <a:srgbClr val="F26E4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809625</xdr:colOff>
      <xdr:row>0</xdr:row>
      <xdr:rowOff>28575</xdr:rowOff>
    </xdr:from>
    <xdr:to>
      <xdr:col>12</xdr:col>
      <xdr:colOff>1438275</xdr:colOff>
      <xdr:row>2</xdr:row>
      <xdr:rowOff>28575</xdr:rowOff>
    </xdr:to>
    <xdr:pic>
      <xdr:nvPicPr>
        <xdr:cNvPr id="3" name="Grafik 2">
          <a:extLst>
            <a:ext uri="{FF2B5EF4-FFF2-40B4-BE49-F238E27FC236}">
              <a16:creationId xmlns:a16="http://schemas.microsoft.com/office/drawing/2014/main" id="{A541D2BD-A505-F233-B6FB-FFCDA25781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106650" y="28575"/>
          <a:ext cx="1714500" cy="4953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CD53B5-F519-4ABE-9516-AC5069563A1F}" name="Tabelle1" displayName="Tabelle1" ref="B6:M51" totalsRowShown="0">
  <autoFilter ref="B6:M51" xr:uid="{BACD53B5-F519-4ABE-9516-AC5069563A1F}"/>
  <sortState xmlns:xlrd2="http://schemas.microsoft.com/office/spreadsheetml/2017/richdata2" ref="B7:M51">
    <sortCondition ref="B6:B51"/>
  </sortState>
  <tableColumns count="12">
    <tableColumn id="1" xr3:uid="{3F83B8D1-A8E5-40F7-B6A6-34CAE5378371}" name="WE-Nr." dataDxfId="9"/>
    <tableColumn id="2" xr3:uid="{23752E05-D324-45F1-8BCA-CDB0491F665B}" name="Lage"/>
    <tableColumn id="3" xr3:uid="{B3F76305-B979-43D0-9F8A-5AC5CC29D579}" name="Fläche" dataDxfId="8"/>
    <tableColumn id="4" xr3:uid="{679E6123-3E56-4334-B47C-9B31B6A0C4E2}" name="Kategorie"/>
    <tableColumn id="5" xr3:uid="{26212DBF-5A61-49F7-B3AE-78BB6083DB14}" name="Kaufpreis Wohnung" dataDxfId="7"/>
    <tableColumn id="12" xr3:uid="{86A0E0FF-5B18-492C-9FAE-F50B8E66F349}" name="Kaupreis/m²" dataDxfId="6">
      <calculatedColumnFormula>Tabelle1[[#This Row],[Kaufpreis Wohnung]]/Tabelle1[[#This Row],[Fläche]]</calculatedColumnFormula>
    </tableColumn>
    <tableColumn id="6" xr3:uid="{148EEC43-F876-44A3-B5F6-5B24241E4D9C}" name="WEG-Rücklage (Sanierung)" dataDxfId="5"/>
    <tableColumn id="7" xr3:uid="{9E1BDCB3-9106-4AAB-8D34-BA33C1DD4DF9}" name="Kaufpreis TG-Stellpl." dataDxfId="4"/>
    <tableColumn id="8" xr3:uid="{47C66298-5CB9-40BE-A05D-BD75AA82A79B}" name="Gesamtkaufpreis inkl. TG + Rücklage" dataDxfId="3"/>
    <tableColumn id="9" xr3:uid="{CA79E10C-5DB3-4692-816B-FE8DBC1EA51C}" name="Mietpool-Aussch. WE" dataDxfId="2"/>
    <tableColumn id="10" xr3:uid="{56102807-0BB4-4F79-B0CB-36FF380B60BC}" name="MP-Aussch. TG" dataDxfId="1" dataCellStyle="Währung"/>
    <tableColumn id="11" xr3:uid="{88F5BDBE-B063-4269-9C38-A77E1889646C}" name="MP-Auss. mtl. WE+TG" dataDxfId="0">
      <calculatedColumnFormula>(K7*D7)+L7</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20AE3-5089-4753-A716-A95DF85D4D0A}">
  <sheetPr>
    <pageSetUpPr fitToPage="1"/>
  </sheetPr>
  <dimension ref="A1:P96"/>
  <sheetViews>
    <sheetView tabSelected="1" zoomScaleNormal="100" workbookViewId="0">
      <selection activeCell="N16" sqref="N16"/>
    </sheetView>
  </sheetViews>
  <sheetFormatPr baseColWidth="10" defaultRowHeight="15" x14ac:dyDescent="0.25"/>
  <cols>
    <col min="1" max="1" width="6.28515625" style="44" customWidth="1"/>
    <col min="2" max="3" width="11.42578125" style="44"/>
    <col min="4" max="4" width="12" style="44" bestFit="1" customWidth="1"/>
    <col min="5" max="5" width="16.140625" style="44" customWidth="1"/>
    <col min="6" max="6" width="12.5703125" style="44" customWidth="1"/>
    <col min="7" max="7" width="16.140625" style="44" customWidth="1"/>
    <col min="8" max="8" width="15" style="44" customWidth="1"/>
    <col min="9" max="9" width="15.140625" style="44" customWidth="1"/>
    <col min="10" max="10" width="13" style="44" bestFit="1" customWidth="1"/>
    <col min="11" max="11" width="14.5703125" style="44" customWidth="1"/>
    <col min="12" max="12" width="9.7109375" style="44" customWidth="1"/>
    <col min="13" max="13" width="14.140625" style="44" customWidth="1"/>
    <col min="14" max="14" width="15.140625" style="44" customWidth="1"/>
    <col min="15" max="15" width="12.140625" style="44" customWidth="1"/>
    <col min="16" max="16" width="10.85546875" style="44" customWidth="1"/>
    <col min="17" max="16384" width="11.42578125" style="44"/>
  </cols>
  <sheetData>
    <row r="1" spans="1:16" x14ac:dyDescent="0.25">
      <c r="A1" s="43"/>
      <c r="B1" s="43"/>
      <c r="C1" s="43"/>
      <c r="D1" s="43"/>
      <c r="E1" s="43"/>
      <c r="F1" s="43"/>
      <c r="G1" s="43"/>
      <c r="H1" s="43"/>
      <c r="I1" s="43"/>
      <c r="J1" s="43"/>
      <c r="K1" s="43"/>
      <c r="L1" s="43"/>
      <c r="M1" s="43"/>
      <c r="N1" s="43"/>
      <c r="O1" s="43"/>
      <c r="P1" s="43"/>
    </row>
    <row r="2" spans="1:16" x14ac:dyDescent="0.25">
      <c r="A2" s="43"/>
      <c r="B2" s="43"/>
      <c r="C2" s="43"/>
      <c r="D2" s="43"/>
      <c r="E2" s="43"/>
      <c r="F2" s="43"/>
      <c r="G2" s="43"/>
      <c r="H2" s="43"/>
      <c r="I2" s="43"/>
      <c r="J2" s="43"/>
      <c r="K2" s="43"/>
      <c r="L2" s="43"/>
      <c r="M2" s="43"/>
      <c r="N2" s="43"/>
      <c r="O2" s="43"/>
      <c r="P2" s="43"/>
    </row>
    <row r="3" spans="1:16" x14ac:dyDescent="0.25">
      <c r="A3" s="43"/>
      <c r="B3" s="43"/>
      <c r="C3" s="43"/>
      <c r="D3" s="43"/>
      <c r="E3" s="43"/>
      <c r="F3" s="43"/>
      <c r="G3" s="43"/>
      <c r="H3" s="43"/>
      <c r="I3" s="43"/>
      <c r="J3" s="43"/>
      <c r="K3" s="43"/>
      <c r="L3" s="43"/>
      <c r="M3" s="43"/>
      <c r="N3" s="43"/>
      <c r="O3" s="43"/>
      <c r="P3" s="43"/>
    </row>
    <row r="4" spans="1:16" x14ac:dyDescent="0.25">
      <c r="A4" s="43"/>
      <c r="B4" s="43"/>
      <c r="C4" s="43"/>
      <c r="D4" s="43"/>
      <c r="E4" s="43"/>
      <c r="F4" s="43"/>
      <c r="G4" s="43"/>
      <c r="H4" s="43"/>
      <c r="I4" s="43"/>
      <c r="J4" s="43"/>
      <c r="K4" s="43"/>
      <c r="L4" s="43"/>
      <c r="M4" s="43"/>
      <c r="N4" s="43"/>
      <c r="O4" s="43"/>
      <c r="P4" s="43"/>
    </row>
    <row r="5" spans="1:16" x14ac:dyDescent="0.25">
      <c r="A5" s="43"/>
      <c r="B5" s="43"/>
      <c r="C5" s="43"/>
      <c r="D5" s="43"/>
      <c r="E5" s="43"/>
      <c r="F5" s="43"/>
      <c r="G5" s="43"/>
      <c r="H5" s="43"/>
      <c r="I5" s="43"/>
      <c r="J5" s="43"/>
      <c r="K5" s="43"/>
      <c r="L5" s="43"/>
      <c r="M5" s="43"/>
      <c r="N5" s="43"/>
      <c r="O5" s="43"/>
      <c r="P5" s="43"/>
    </row>
    <row r="6" spans="1:16" x14ac:dyDescent="0.25">
      <c r="A6" s="43"/>
      <c r="B6" s="43"/>
      <c r="C6" s="43"/>
      <c r="D6" s="43"/>
      <c r="E6" s="43"/>
      <c r="F6" s="43"/>
      <c r="G6" s="43"/>
      <c r="H6" s="43"/>
      <c r="I6" s="43"/>
      <c r="J6" s="43"/>
      <c r="K6" s="43"/>
      <c r="L6" s="43"/>
      <c r="M6" s="43"/>
      <c r="N6" s="43"/>
      <c r="O6" s="43"/>
      <c r="P6" s="43"/>
    </row>
    <row r="7" spans="1:16" x14ac:dyDescent="0.25">
      <c r="A7" s="43"/>
      <c r="B7" s="114" t="s">
        <v>162</v>
      </c>
      <c r="C7" s="114"/>
      <c r="D7" s="114"/>
      <c r="E7" s="114"/>
      <c r="F7" s="114"/>
      <c r="G7" s="114"/>
      <c r="H7" s="114"/>
      <c r="I7" s="114"/>
      <c r="J7" s="114"/>
      <c r="K7" s="114"/>
      <c r="L7" s="114"/>
      <c r="M7" s="114"/>
      <c r="N7" s="114"/>
      <c r="O7" s="114"/>
      <c r="P7" s="43"/>
    </row>
    <row r="8" spans="1:16" x14ac:dyDescent="0.25">
      <c r="A8" s="43"/>
      <c r="B8" s="114"/>
      <c r="C8" s="114"/>
      <c r="D8" s="114"/>
      <c r="E8" s="114"/>
      <c r="F8" s="114"/>
      <c r="G8" s="114"/>
      <c r="H8" s="114"/>
      <c r="I8" s="114"/>
      <c r="J8" s="114"/>
      <c r="K8" s="114"/>
      <c r="L8" s="114"/>
      <c r="M8" s="114"/>
      <c r="N8" s="114"/>
      <c r="O8" s="114"/>
      <c r="P8" s="43"/>
    </row>
    <row r="9" spans="1:16" x14ac:dyDescent="0.25">
      <c r="A9" s="43"/>
      <c r="B9" s="43"/>
      <c r="C9" s="43"/>
      <c r="D9" s="43"/>
      <c r="E9" s="43"/>
      <c r="F9" s="43"/>
      <c r="G9" s="43"/>
      <c r="H9" s="43"/>
      <c r="I9" s="43"/>
      <c r="J9" s="43"/>
      <c r="K9" s="43"/>
      <c r="L9" s="43"/>
      <c r="M9" s="43"/>
      <c r="N9" s="43"/>
      <c r="O9" s="43"/>
      <c r="P9" s="43"/>
    </row>
    <row r="10" spans="1:16" ht="20.100000000000001" customHeight="1" x14ac:dyDescent="0.3">
      <c r="A10" s="43"/>
      <c r="B10" s="115" t="s">
        <v>103</v>
      </c>
      <c r="C10" s="116"/>
      <c r="D10" s="116"/>
      <c r="E10" s="116"/>
      <c r="F10" s="116"/>
      <c r="G10" s="116"/>
      <c r="H10" s="116"/>
      <c r="I10" s="115" t="s">
        <v>124</v>
      </c>
      <c r="J10" s="117"/>
      <c r="K10" s="117"/>
      <c r="L10" s="117"/>
      <c r="M10" s="117"/>
      <c r="N10" s="117"/>
      <c r="O10" s="117"/>
      <c r="P10" s="43"/>
    </row>
    <row r="11" spans="1:16" ht="15.75" x14ac:dyDescent="0.25">
      <c r="A11" s="37"/>
      <c r="B11" s="98"/>
      <c r="C11" s="98"/>
      <c r="D11" s="98"/>
      <c r="E11" s="98"/>
      <c r="F11" s="98"/>
      <c r="G11" s="98"/>
      <c r="H11" s="98"/>
      <c r="I11" s="98"/>
      <c r="J11" s="118"/>
      <c r="K11" s="118"/>
      <c r="L11" s="118"/>
      <c r="M11" s="118"/>
      <c r="N11" s="118"/>
      <c r="O11" s="119"/>
      <c r="P11" s="43"/>
    </row>
    <row r="12" spans="1:16" ht="15.75" x14ac:dyDescent="0.25">
      <c r="A12" s="37"/>
      <c r="B12" s="38" t="s">
        <v>104</v>
      </c>
      <c r="C12" s="38"/>
      <c r="D12" s="33" t="s">
        <v>58</v>
      </c>
      <c r="E12" s="38"/>
      <c r="F12" s="38" t="s">
        <v>166</v>
      </c>
      <c r="G12" s="101">
        <f>VLOOKUP($D$12,Kaufpreisliste!$B:$M,3,0)</f>
        <v>37.32</v>
      </c>
      <c r="H12" s="38"/>
      <c r="I12" s="38" t="s">
        <v>125</v>
      </c>
      <c r="J12" s="38"/>
      <c r="K12" s="34">
        <v>70000</v>
      </c>
      <c r="L12" s="38"/>
      <c r="M12" s="38" t="s">
        <v>126</v>
      </c>
      <c r="N12" s="33" t="s">
        <v>141</v>
      </c>
      <c r="O12" s="42"/>
      <c r="P12" s="43"/>
    </row>
    <row r="13" spans="1:16" ht="15.75" x14ac:dyDescent="0.25">
      <c r="A13" s="37"/>
      <c r="B13" s="38"/>
      <c r="C13" s="38"/>
      <c r="D13" s="98"/>
      <c r="E13" s="38"/>
      <c r="F13" s="38" t="s">
        <v>167</v>
      </c>
      <c r="G13" s="112" t="str">
        <f>VLOOKUP($D$12,Kaufpreisliste!$B:$M,"4",0)</f>
        <v>Bestand klein</v>
      </c>
      <c r="H13" s="38"/>
      <c r="I13" s="38" t="s">
        <v>143</v>
      </c>
      <c r="J13" s="38"/>
      <c r="K13" s="86">
        <f>IF(N12="ledig",IF(K12&lt;=11604,0,
IF(K12&lt;=17005,((922.98*((K12-11604)/10000))+1400)*(K12-11604)/10000,
IF(K12&lt;=66760,((181.19*((K12-17005)/10000))+2397)*(K12-17005)/10000+1025.38,
IF(K12&lt;=277826,(0.42*K12)-10602.13,
IF(K12&gt;277826,(0.45*K12)-18936.88))))),
IF(N12="verheiratet",IF(K12/2&lt;=11604,0,
IF(K12/2&lt;=17005,((922.98*((K12/2-11604)/10000))+1400)*(K12/2-11604)/10000,
IF(K12/2&lt;=66760,((181.19*((K12/2-17005)/10000))+2397)*(K12/2-17005)/10000+1025.38,
IF(K12/2&lt;=277826,(0.42*K12/2)-10602.13,
IF(K12/2&gt;277826,(0.45*K12/2)-18936.88))))))*2)</f>
        <v>18797.870000000003</v>
      </c>
      <c r="L13" s="86"/>
      <c r="M13" s="113" t="s">
        <v>155</v>
      </c>
      <c r="N13" s="33" t="s">
        <v>158</v>
      </c>
      <c r="O13" s="42"/>
      <c r="P13" s="43"/>
    </row>
    <row r="14" spans="1:16" ht="15.75" x14ac:dyDescent="0.25">
      <c r="A14" s="37"/>
      <c r="B14" s="97"/>
      <c r="C14" s="97"/>
      <c r="D14" s="38" t="s">
        <v>168</v>
      </c>
      <c r="E14" s="38"/>
      <c r="F14" s="97"/>
      <c r="G14" s="86">
        <f>VLOOKUP($D$12,Kaufpreisliste!$B:$M,6,0)</f>
        <v>2698.1584332066645</v>
      </c>
      <c r="H14" s="38"/>
      <c r="I14" s="38" t="s">
        <v>144</v>
      </c>
      <c r="J14" s="38"/>
      <c r="K14" s="95">
        <f>IF(N12="ledig",
IF(K13&lt;=18130,0,
IF(K13&lt;=33710,(K13-18130)*0.119,
IF(K13&gt;33710,K13*0.055))),
IF(N12="verheiratet",
IF(K13&lt;=36260,0,
IF(K13&lt;=67415,(K13-36260)*0.119,
IF(K13&gt;67415,K13*0.055)))))</f>
        <v>79.476530000000309</v>
      </c>
      <c r="L14" s="40"/>
      <c r="M14" s="86"/>
      <c r="N14" s="38"/>
      <c r="O14" s="42"/>
      <c r="P14" s="43"/>
    </row>
    <row r="15" spans="1:16" ht="15.75" x14ac:dyDescent="0.25">
      <c r="A15" s="37"/>
      <c r="B15" s="97"/>
      <c r="C15" s="97"/>
      <c r="D15" s="38" t="s">
        <v>169</v>
      </c>
      <c r="E15" s="38"/>
      <c r="F15" s="98"/>
      <c r="G15" s="86">
        <f>(VLOOKUP($D$12,Kaufpreisliste!$B:$M,7,0))/G12</f>
        <v>525.92157364383138</v>
      </c>
      <c r="H15" s="38"/>
      <c r="I15" s="99" t="s">
        <v>155</v>
      </c>
      <c r="J15" s="99"/>
      <c r="K15" s="100">
        <f>IF($N$13="nein",0,
IF($N$13="8 Prozent",K13*0.08,
IF($N$13="9 Prozent",K13*0.09)))</f>
        <v>1503.8296000000003</v>
      </c>
      <c r="L15" s="40"/>
      <c r="M15" s="86"/>
      <c r="N15" s="40"/>
      <c r="O15" s="42"/>
      <c r="P15" s="43"/>
    </row>
    <row r="16" spans="1:16" ht="15.75" x14ac:dyDescent="0.25">
      <c r="A16" s="37"/>
      <c r="B16" s="38"/>
      <c r="C16" s="38"/>
      <c r="D16" s="98"/>
      <c r="E16" s="40"/>
      <c r="F16" s="38"/>
      <c r="G16" s="101"/>
      <c r="H16" s="38"/>
      <c r="I16" s="78" t="s">
        <v>157</v>
      </c>
      <c r="J16" s="78"/>
      <c r="K16" s="102">
        <f>K14+K13+K15</f>
        <v>20381.176130000003</v>
      </c>
      <c r="L16" s="38"/>
      <c r="M16" s="86"/>
      <c r="N16" s="40"/>
      <c r="O16" s="42"/>
      <c r="P16" s="103"/>
    </row>
    <row r="17" spans="1:16" ht="15.75" x14ac:dyDescent="0.25">
      <c r="A17" s="37"/>
      <c r="B17" s="81"/>
      <c r="C17" s="82"/>
      <c r="D17" s="104"/>
      <c r="E17" s="82"/>
      <c r="F17" s="82"/>
      <c r="G17" s="105"/>
      <c r="H17" s="82"/>
      <c r="I17" s="88"/>
      <c r="J17" s="88"/>
      <c r="K17" s="106"/>
      <c r="L17" s="82"/>
      <c r="M17" s="107"/>
      <c r="N17" s="108"/>
      <c r="O17" s="83"/>
      <c r="P17" s="103"/>
    </row>
    <row r="18" spans="1:16" x14ac:dyDescent="0.25">
      <c r="A18" s="43"/>
      <c r="B18" s="43"/>
      <c r="C18" s="43"/>
      <c r="D18" s="43"/>
      <c r="E18" s="43"/>
      <c r="F18" s="43"/>
      <c r="G18" s="43"/>
      <c r="H18" s="43"/>
      <c r="I18" s="43"/>
      <c r="J18" s="43"/>
      <c r="K18" s="43"/>
      <c r="L18" s="109"/>
      <c r="M18" s="43"/>
      <c r="N18" s="43"/>
      <c r="O18" s="43"/>
      <c r="P18" s="43"/>
    </row>
    <row r="19" spans="1:16" ht="20.100000000000001" customHeight="1" x14ac:dyDescent="0.3">
      <c r="A19" s="43"/>
      <c r="B19" s="54" t="s">
        <v>113</v>
      </c>
      <c r="C19" s="54"/>
      <c r="D19" s="54"/>
      <c r="E19" s="54"/>
      <c r="F19" s="54"/>
      <c r="G19" s="54"/>
      <c r="H19" s="54"/>
      <c r="I19" s="54"/>
      <c r="J19" s="54"/>
      <c r="K19" s="54"/>
      <c r="L19" s="54"/>
      <c r="M19" s="54"/>
      <c r="N19" s="54"/>
      <c r="O19" s="54"/>
      <c r="P19" s="43"/>
    </row>
    <row r="20" spans="1:16" ht="15.75" x14ac:dyDescent="0.25">
      <c r="A20" s="37"/>
      <c r="B20" s="38"/>
      <c r="C20" s="38"/>
      <c r="D20" s="38"/>
      <c r="E20" s="38"/>
      <c r="F20" s="38"/>
      <c r="G20" s="38"/>
      <c r="H20" s="38"/>
      <c r="I20" s="38"/>
      <c r="J20" s="38"/>
      <c r="K20" s="38"/>
      <c r="L20" s="86"/>
      <c r="M20" s="38"/>
      <c r="N20" s="38"/>
      <c r="O20" s="42"/>
      <c r="P20" s="43"/>
    </row>
    <row r="21" spans="1:16" ht="15.75" x14ac:dyDescent="0.25">
      <c r="A21" s="37"/>
      <c r="B21" s="38" t="s">
        <v>48</v>
      </c>
      <c r="C21" s="38"/>
      <c r="D21" s="38"/>
      <c r="E21" s="38"/>
      <c r="F21" s="38"/>
      <c r="G21" s="38"/>
      <c r="H21" s="38"/>
      <c r="I21" s="38"/>
      <c r="J21" s="38"/>
      <c r="K21" s="86">
        <f>VLOOKUP($D$12,Kaufpreisliste!$B:$M,5,0)</f>
        <v>100695.27272727272</v>
      </c>
      <c r="L21" s="38"/>
      <c r="M21" s="38"/>
      <c r="N21" s="38"/>
      <c r="O21" s="42"/>
      <c r="P21" s="43"/>
    </row>
    <row r="22" spans="1:16" ht="15.75" x14ac:dyDescent="0.25">
      <c r="A22" s="37"/>
      <c r="B22" s="38" t="s">
        <v>105</v>
      </c>
      <c r="C22" s="38"/>
      <c r="D22" s="38"/>
      <c r="E22" s="38"/>
      <c r="F22" s="38"/>
      <c r="G22" s="38"/>
      <c r="H22" s="38"/>
      <c r="I22" s="38"/>
      <c r="J22" s="38"/>
      <c r="K22" s="86">
        <f>VLOOKUP($D$12,Kaufpreisliste!$B:$M,7,0)</f>
        <v>19627.393128387786</v>
      </c>
      <c r="L22" s="38"/>
      <c r="M22" s="38"/>
      <c r="N22" s="38"/>
      <c r="O22" s="42"/>
      <c r="P22" s="43"/>
    </row>
    <row r="23" spans="1:16" ht="15.75" x14ac:dyDescent="0.25">
      <c r="A23" s="37"/>
      <c r="B23" s="99" t="s">
        <v>52</v>
      </c>
      <c r="C23" s="99"/>
      <c r="D23" s="99"/>
      <c r="E23" s="99"/>
      <c r="F23" s="99"/>
      <c r="G23" s="99"/>
      <c r="H23" s="99"/>
      <c r="I23" s="99"/>
      <c r="J23" s="99"/>
      <c r="K23" s="100">
        <f>VLOOKUP($D$12,Kaufpreisliste!$B:$M,8,0)</f>
        <v>14500</v>
      </c>
      <c r="L23" s="38"/>
      <c r="M23" s="38"/>
      <c r="N23" s="38"/>
      <c r="O23" s="42"/>
      <c r="P23" s="43"/>
    </row>
    <row r="24" spans="1:16" ht="15.75" x14ac:dyDescent="0.25">
      <c r="A24" s="37"/>
      <c r="B24" s="78" t="s">
        <v>107</v>
      </c>
      <c r="C24" s="78"/>
      <c r="D24" s="78"/>
      <c r="E24" s="78"/>
      <c r="F24" s="78"/>
      <c r="G24" s="78"/>
      <c r="H24" s="78"/>
      <c r="I24" s="78"/>
      <c r="J24" s="38"/>
      <c r="K24" s="80">
        <f>SUM(K21:K23)</f>
        <v>134822.66585566051</v>
      </c>
      <c r="L24" s="38"/>
      <c r="M24" s="38"/>
      <c r="N24" s="38"/>
      <c r="O24" s="42"/>
      <c r="P24" s="43"/>
    </row>
    <row r="25" spans="1:16" ht="15.75" x14ac:dyDescent="0.25">
      <c r="A25" s="37"/>
      <c r="B25" s="38"/>
      <c r="C25" s="38"/>
      <c r="D25" s="38"/>
      <c r="E25" s="38"/>
      <c r="F25" s="38"/>
      <c r="G25" s="38"/>
      <c r="H25" s="38"/>
      <c r="I25" s="38"/>
      <c r="J25" s="38"/>
      <c r="K25" s="38"/>
      <c r="L25" s="38"/>
      <c r="M25" s="38"/>
      <c r="N25" s="38"/>
      <c r="O25" s="42"/>
      <c r="P25" s="43"/>
    </row>
    <row r="26" spans="1:16" ht="15.75" x14ac:dyDescent="0.25">
      <c r="A26" s="37"/>
      <c r="B26" s="38" t="s">
        <v>106</v>
      </c>
      <c r="C26" s="38"/>
      <c r="D26" s="38"/>
      <c r="E26" s="38"/>
      <c r="F26" s="38"/>
      <c r="G26" s="38"/>
      <c r="H26" s="84">
        <v>0.02</v>
      </c>
      <c r="I26" s="38"/>
      <c r="J26" s="38"/>
      <c r="K26" s="40">
        <f>H26*K24</f>
        <v>2696.4533171132102</v>
      </c>
      <c r="L26" s="38"/>
      <c r="M26" s="38"/>
      <c r="N26" s="38"/>
      <c r="O26" s="42"/>
      <c r="P26" s="43"/>
    </row>
    <row r="27" spans="1:16" ht="15.75" x14ac:dyDescent="0.25">
      <c r="A27" s="37"/>
      <c r="B27" s="99" t="s">
        <v>108</v>
      </c>
      <c r="C27" s="99"/>
      <c r="D27" s="99"/>
      <c r="E27" s="99"/>
      <c r="F27" s="99"/>
      <c r="G27" s="99"/>
      <c r="H27" s="110">
        <v>3.5000000000000003E-2</v>
      </c>
      <c r="I27" s="99"/>
      <c r="J27" s="99"/>
      <c r="K27" s="111">
        <f>H27*K24</f>
        <v>4718.793304948118</v>
      </c>
      <c r="L27" s="38"/>
      <c r="M27" s="38"/>
      <c r="N27" s="38"/>
      <c r="O27" s="42"/>
      <c r="P27" s="43"/>
    </row>
    <row r="28" spans="1:16" ht="15.75" x14ac:dyDescent="0.25">
      <c r="A28" s="37"/>
      <c r="B28" s="78" t="s">
        <v>109</v>
      </c>
      <c r="C28" s="78"/>
      <c r="D28" s="78"/>
      <c r="E28" s="78"/>
      <c r="F28" s="78"/>
      <c r="G28" s="78"/>
      <c r="H28" s="78"/>
      <c r="I28" s="78"/>
      <c r="J28" s="38"/>
      <c r="K28" s="80">
        <f>K24+K26+K27</f>
        <v>142237.91247772184</v>
      </c>
      <c r="L28" s="38"/>
      <c r="M28" s="38"/>
      <c r="N28" s="38"/>
      <c r="O28" s="42"/>
      <c r="P28" s="43"/>
    </row>
    <row r="29" spans="1:16" ht="15.75" x14ac:dyDescent="0.25">
      <c r="A29" s="37"/>
      <c r="B29" s="38"/>
      <c r="C29" s="38"/>
      <c r="D29" s="38"/>
      <c r="E29" s="38"/>
      <c r="F29" s="38"/>
      <c r="G29" s="38"/>
      <c r="H29" s="38"/>
      <c r="I29" s="38"/>
      <c r="J29" s="38"/>
      <c r="K29" s="38"/>
      <c r="L29" s="38"/>
      <c r="M29" s="38"/>
      <c r="N29" s="38"/>
      <c r="O29" s="42"/>
      <c r="P29" s="43"/>
    </row>
    <row r="30" spans="1:16" ht="15.75" x14ac:dyDescent="0.25">
      <c r="A30" s="37"/>
      <c r="B30" s="38" t="s">
        <v>112</v>
      </c>
      <c r="C30" s="38"/>
      <c r="D30" s="38"/>
      <c r="E30" s="35">
        <v>1</v>
      </c>
      <c r="F30" s="38" t="s">
        <v>110</v>
      </c>
      <c r="G30" s="38"/>
      <c r="H30" s="38"/>
      <c r="I30" s="38"/>
      <c r="J30" s="38"/>
      <c r="K30" s="40">
        <f>K24*E30</f>
        <v>134822.66585566051</v>
      </c>
      <c r="L30" s="38"/>
      <c r="M30" s="38"/>
      <c r="N30" s="38"/>
      <c r="O30" s="42"/>
      <c r="P30" s="43"/>
    </row>
    <row r="31" spans="1:16" ht="15.75" x14ac:dyDescent="0.25">
      <c r="A31" s="37"/>
      <c r="B31" s="78" t="s">
        <v>111</v>
      </c>
      <c r="C31" s="78"/>
      <c r="D31" s="78"/>
      <c r="E31" s="78"/>
      <c r="F31" s="78"/>
      <c r="G31" s="78"/>
      <c r="H31" s="78"/>
      <c r="I31" s="78"/>
      <c r="J31" s="38"/>
      <c r="K31" s="80">
        <f>K28-K30</f>
        <v>7415.2466220613278</v>
      </c>
      <c r="L31" s="38"/>
      <c r="M31" s="38"/>
      <c r="N31" s="38"/>
      <c r="O31" s="42"/>
      <c r="P31" s="43"/>
    </row>
    <row r="32" spans="1:16" ht="15" customHeight="1" x14ac:dyDescent="0.25">
      <c r="A32" s="37"/>
      <c r="B32" s="81"/>
      <c r="C32" s="82"/>
      <c r="D32" s="82"/>
      <c r="E32" s="82"/>
      <c r="F32" s="82"/>
      <c r="G32" s="82"/>
      <c r="H32" s="82"/>
      <c r="I32" s="82"/>
      <c r="J32" s="82"/>
      <c r="K32" s="82"/>
      <c r="L32" s="82"/>
      <c r="M32" s="82"/>
      <c r="N32" s="82"/>
      <c r="O32" s="83"/>
      <c r="P32" s="43"/>
    </row>
    <row r="33" spans="1:16" ht="15" customHeight="1" x14ac:dyDescent="0.25">
      <c r="A33" s="43"/>
      <c r="B33" s="43"/>
      <c r="C33" s="43"/>
      <c r="D33" s="43"/>
      <c r="E33" s="43"/>
      <c r="F33" s="43"/>
      <c r="G33" s="43"/>
      <c r="H33" s="43"/>
      <c r="I33" s="43"/>
      <c r="J33" s="43"/>
      <c r="K33" s="43"/>
      <c r="L33" s="43"/>
      <c r="M33" s="43"/>
      <c r="N33" s="43"/>
      <c r="O33" s="43"/>
      <c r="P33" s="43"/>
    </row>
    <row r="34" spans="1:16" ht="20.100000000000001" customHeight="1" x14ac:dyDescent="0.3">
      <c r="A34" s="43"/>
      <c r="B34" s="54" t="s">
        <v>127</v>
      </c>
      <c r="C34" s="54"/>
      <c r="D34" s="54"/>
      <c r="E34" s="54"/>
      <c r="F34" s="54"/>
      <c r="G34" s="54"/>
      <c r="H34" s="54"/>
      <c r="I34" s="54"/>
      <c r="J34" s="54"/>
      <c r="K34" s="54"/>
      <c r="L34" s="54"/>
      <c r="M34" s="54"/>
      <c r="N34" s="54"/>
      <c r="O34" s="54"/>
      <c r="P34" s="43"/>
    </row>
    <row r="35" spans="1:16" ht="15.75" x14ac:dyDescent="0.25">
      <c r="A35" s="37"/>
      <c r="B35" s="38"/>
      <c r="C35" s="38"/>
      <c r="D35" s="38"/>
      <c r="E35" s="38"/>
      <c r="F35" s="38"/>
      <c r="G35" s="38"/>
      <c r="H35" s="38"/>
      <c r="I35" s="38"/>
      <c r="J35" s="38"/>
      <c r="K35" s="38"/>
      <c r="L35" s="38"/>
      <c r="M35" s="38"/>
      <c r="N35" s="38"/>
      <c r="O35" s="42"/>
      <c r="P35" s="43"/>
    </row>
    <row r="36" spans="1:16" ht="15.75" x14ac:dyDescent="0.25">
      <c r="A36" s="37"/>
      <c r="B36" s="38" t="s">
        <v>114</v>
      </c>
      <c r="C36" s="38"/>
      <c r="D36" s="38"/>
      <c r="E36" s="38"/>
      <c r="F36" s="38"/>
      <c r="G36" s="38"/>
      <c r="H36" s="84">
        <v>3.5000000000000003E-2</v>
      </c>
      <c r="I36" s="38" t="s">
        <v>115</v>
      </c>
      <c r="J36" s="38"/>
      <c r="K36" s="40">
        <f>(H36*K30)*-1</f>
        <v>-4718.793304948118</v>
      </c>
      <c r="L36" s="38"/>
      <c r="M36" s="38"/>
      <c r="N36" s="38"/>
      <c r="O36" s="42"/>
      <c r="P36" s="43"/>
    </row>
    <row r="37" spans="1:16" ht="15.75" x14ac:dyDescent="0.25">
      <c r="A37" s="37"/>
      <c r="B37" s="38" t="s">
        <v>117</v>
      </c>
      <c r="C37" s="38"/>
      <c r="D37" s="38"/>
      <c r="E37" s="38"/>
      <c r="F37" s="85"/>
      <c r="G37" s="85"/>
      <c r="H37" s="86">
        <v>30</v>
      </c>
      <c r="I37" s="38" t="s">
        <v>116</v>
      </c>
      <c r="J37" s="38"/>
      <c r="K37" s="40">
        <f>(H37*12)*-1</f>
        <v>-360</v>
      </c>
      <c r="L37" s="38"/>
      <c r="M37" s="38"/>
      <c r="N37" s="38"/>
      <c r="O37" s="42"/>
      <c r="P37" s="43"/>
    </row>
    <row r="38" spans="1:16" ht="15.75" x14ac:dyDescent="0.25">
      <c r="A38" s="37"/>
      <c r="B38" s="38" t="s">
        <v>118</v>
      </c>
      <c r="C38" s="38"/>
      <c r="D38" s="38"/>
      <c r="E38" s="38"/>
      <c r="F38" s="38"/>
      <c r="G38" s="38"/>
      <c r="H38" s="86">
        <v>30</v>
      </c>
      <c r="I38" s="38" t="s">
        <v>116</v>
      </c>
      <c r="J38" s="38"/>
      <c r="K38" s="40">
        <f>(H38*12)*-1</f>
        <v>-360</v>
      </c>
      <c r="L38" s="38"/>
      <c r="M38" s="38"/>
      <c r="N38" s="38"/>
      <c r="O38" s="42"/>
      <c r="P38" s="43"/>
    </row>
    <row r="39" spans="1:16" ht="15.75" x14ac:dyDescent="0.25">
      <c r="A39" s="37"/>
      <c r="B39" s="38" t="s">
        <v>119</v>
      </c>
      <c r="C39" s="38"/>
      <c r="D39" s="38"/>
      <c r="E39" s="38"/>
      <c r="F39" s="38"/>
      <c r="G39" s="38"/>
      <c r="H39" s="86">
        <v>0.5</v>
      </c>
      <c r="I39" s="38" t="s">
        <v>120</v>
      </c>
      <c r="J39" s="38"/>
      <c r="K39" s="40">
        <f>(H39*G12*12)*-1</f>
        <v>-223.92000000000002</v>
      </c>
      <c r="L39" s="38"/>
      <c r="M39" s="38"/>
      <c r="N39" s="38"/>
      <c r="O39" s="42"/>
      <c r="P39" s="43"/>
    </row>
    <row r="40" spans="1:16" ht="15.75" x14ac:dyDescent="0.25">
      <c r="A40" s="37"/>
      <c r="B40" s="38"/>
      <c r="C40" s="38"/>
      <c r="D40" s="38"/>
      <c r="E40" s="38"/>
      <c r="F40" s="38"/>
      <c r="G40" s="38"/>
      <c r="H40" s="38"/>
      <c r="I40" s="38"/>
      <c r="J40" s="38"/>
      <c r="K40" s="38"/>
      <c r="L40" s="38"/>
      <c r="M40" s="38"/>
      <c r="N40" s="38"/>
      <c r="O40" s="42"/>
      <c r="P40" s="43"/>
    </row>
    <row r="41" spans="1:16" ht="15.75" x14ac:dyDescent="0.25">
      <c r="A41" s="37"/>
      <c r="B41" s="38" t="s">
        <v>121</v>
      </c>
      <c r="C41" s="38"/>
      <c r="D41" s="38"/>
      <c r="E41" s="38"/>
      <c r="F41" s="38"/>
      <c r="G41" s="38"/>
      <c r="H41" s="38"/>
      <c r="I41" s="38"/>
      <c r="J41" s="38"/>
      <c r="K41" s="86">
        <f>(VLOOKUP($D$12,Kaufpreisliste!$B:$M,12,0))*12</f>
        <v>4391.424</v>
      </c>
      <c r="L41" s="38"/>
      <c r="M41" s="38"/>
      <c r="N41" s="38"/>
      <c r="O41" s="42"/>
      <c r="P41" s="43"/>
    </row>
    <row r="42" spans="1:16" ht="15.75" x14ac:dyDescent="0.25">
      <c r="A42" s="37"/>
      <c r="B42" s="38"/>
      <c r="C42" s="38"/>
      <c r="D42" s="38"/>
      <c r="E42" s="38"/>
      <c r="F42" s="38"/>
      <c r="G42" s="38"/>
      <c r="H42" s="38"/>
      <c r="I42" s="38"/>
      <c r="J42" s="38"/>
      <c r="K42" s="38"/>
      <c r="L42" s="38"/>
      <c r="M42" s="38"/>
      <c r="N42" s="38"/>
      <c r="O42" s="42"/>
      <c r="P42" s="43"/>
    </row>
    <row r="43" spans="1:16" ht="15.75" x14ac:dyDescent="0.25">
      <c r="A43" s="37"/>
      <c r="B43" s="38" t="s">
        <v>122</v>
      </c>
      <c r="C43" s="38"/>
      <c r="D43" s="38"/>
      <c r="E43" s="38"/>
      <c r="F43" s="38"/>
      <c r="G43" s="38"/>
      <c r="H43" s="38"/>
      <c r="I43" s="38"/>
      <c r="J43" s="38"/>
      <c r="K43" s="40">
        <f>SUM(K36:K39)+K41</f>
        <v>-1271.2893049481181</v>
      </c>
      <c r="L43" s="40"/>
      <c r="M43" s="38"/>
      <c r="N43" s="38"/>
      <c r="O43" s="42"/>
      <c r="P43" s="43"/>
    </row>
    <row r="44" spans="1:16" ht="15.75" x14ac:dyDescent="0.25">
      <c r="A44" s="37"/>
      <c r="B44" s="78" t="s">
        <v>122</v>
      </c>
      <c r="C44" s="78"/>
      <c r="D44" s="78"/>
      <c r="E44" s="78"/>
      <c r="F44" s="78"/>
      <c r="G44" s="78" t="s">
        <v>123</v>
      </c>
      <c r="H44" s="78"/>
      <c r="I44" s="78"/>
      <c r="J44" s="78"/>
      <c r="K44" s="80">
        <f>K36+K37+K38+K41</f>
        <v>-1047.369304948118</v>
      </c>
      <c r="L44" s="38"/>
      <c r="M44" s="38"/>
      <c r="N44" s="38"/>
      <c r="O44" s="42"/>
      <c r="P44" s="43"/>
    </row>
    <row r="45" spans="1:16" ht="15.75" x14ac:dyDescent="0.25">
      <c r="A45" s="37"/>
      <c r="B45" s="87"/>
      <c r="C45" s="88"/>
      <c r="D45" s="88"/>
      <c r="E45" s="88"/>
      <c r="F45" s="88"/>
      <c r="G45" s="88"/>
      <c r="H45" s="88"/>
      <c r="I45" s="88"/>
      <c r="J45" s="88"/>
      <c r="K45" s="89"/>
      <c r="L45" s="82"/>
      <c r="M45" s="82"/>
      <c r="N45" s="82"/>
      <c r="O45" s="83"/>
      <c r="P45" s="43"/>
    </row>
    <row r="46" spans="1:16" x14ac:dyDescent="0.25">
      <c r="A46" s="43"/>
      <c r="B46" s="43"/>
      <c r="C46" s="43"/>
      <c r="D46" s="43"/>
      <c r="E46" s="43"/>
      <c r="F46" s="43"/>
      <c r="G46" s="43"/>
      <c r="H46" s="43"/>
      <c r="I46" s="43"/>
      <c r="J46" s="43"/>
      <c r="K46" s="43"/>
      <c r="L46" s="43"/>
      <c r="M46" s="43"/>
      <c r="N46" s="43"/>
      <c r="O46" s="43"/>
      <c r="P46" s="43"/>
    </row>
    <row r="47" spans="1:16" ht="20.100000000000001" customHeight="1" x14ac:dyDescent="0.3">
      <c r="A47" s="43"/>
      <c r="B47" s="54" t="s">
        <v>147</v>
      </c>
      <c r="C47" s="54"/>
      <c r="D47" s="54"/>
      <c r="E47" s="54"/>
      <c r="F47" s="54"/>
      <c r="G47" s="54"/>
      <c r="H47" s="54"/>
      <c r="I47" s="54"/>
      <c r="J47" s="54"/>
      <c r="K47" s="54"/>
      <c r="L47" s="54"/>
      <c r="M47" s="54"/>
      <c r="N47" s="54"/>
      <c r="O47" s="54"/>
      <c r="P47" s="43"/>
    </row>
    <row r="48" spans="1:16" ht="15.75" x14ac:dyDescent="0.25">
      <c r="A48" s="37"/>
      <c r="B48" s="38"/>
      <c r="C48" s="38"/>
      <c r="D48" s="38"/>
      <c r="E48" s="38"/>
      <c r="F48" s="38"/>
      <c r="G48" s="38"/>
      <c r="H48" s="38"/>
      <c r="I48" s="38"/>
      <c r="J48" s="38"/>
      <c r="K48" s="38"/>
      <c r="L48" s="38"/>
      <c r="M48" s="38"/>
      <c r="N48" s="38"/>
      <c r="O48" s="42"/>
      <c r="P48" s="43"/>
    </row>
    <row r="49" spans="1:16" ht="15.75" x14ac:dyDescent="0.25">
      <c r="A49" s="37"/>
      <c r="B49" s="38" t="s">
        <v>122</v>
      </c>
      <c r="C49" s="38"/>
      <c r="D49" s="38"/>
      <c r="E49" s="38"/>
      <c r="F49" s="38"/>
      <c r="G49" s="38"/>
      <c r="H49" s="38"/>
      <c r="I49" s="38"/>
      <c r="J49" s="38"/>
      <c r="K49" s="40">
        <f>K44</f>
        <v>-1047.369304948118</v>
      </c>
      <c r="L49" s="38"/>
      <c r="M49" s="38"/>
      <c r="N49" s="38"/>
      <c r="O49" s="42"/>
      <c r="P49" s="43"/>
    </row>
    <row r="50" spans="1:16" ht="15.75" x14ac:dyDescent="0.25">
      <c r="A50" s="37"/>
      <c r="B50" s="38" t="s">
        <v>128</v>
      </c>
      <c r="C50" s="38"/>
      <c r="D50" s="38"/>
      <c r="E50" s="38"/>
      <c r="F50" s="90">
        <v>0.75</v>
      </c>
      <c r="G50" s="38" t="s">
        <v>129</v>
      </c>
      <c r="H50" s="91">
        <v>0.02</v>
      </c>
      <c r="I50" s="38" t="s">
        <v>115</v>
      </c>
      <c r="J50" s="38"/>
      <c r="K50" s="86">
        <f>(((VLOOKUP($D$12,Kaufpreisliste!$B:$M,5,0)+VLOOKUP($D$12,Kaufpreisliste!$B:$M,8,0)))*F50*H50)*-1</f>
        <v>-1727.929090909091</v>
      </c>
      <c r="L50" s="38"/>
      <c r="M50" s="38"/>
      <c r="N50" s="38"/>
      <c r="O50" s="42"/>
      <c r="P50" s="43"/>
    </row>
    <row r="51" spans="1:16" ht="15.75" x14ac:dyDescent="0.25">
      <c r="A51" s="37"/>
      <c r="B51" s="38" t="s">
        <v>130</v>
      </c>
      <c r="C51" s="38"/>
      <c r="D51" s="38"/>
      <c r="E51" s="38"/>
      <c r="F51" s="38"/>
      <c r="G51" s="78" t="s">
        <v>132</v>
      </c>
      <c r="H51" s="38"/>
      <c r="I51" s="38"/>
      <c r="J51" s="38"/>
      <c r="K51" s="86">
        <f>((VLOOKUP($D$12,Kaufpreisliste!$B:$M,7,0))*0.8/3)*-1</f>
        <v>-5233.9715009034098</v>
      </c>
      <c r="L51" s="38"/>
      <c r="M51" s="38"/>
      <c r="N51" s="38"/>
      <c r="O51" s="42"/>
      <c r="P51" s="43"/>
    </row>
    <row r="52" spans="1:16" ht="15.75" x14ac:dyDescent="0.25">
      <c r="A52" s="37"/>
      <c r="B52" s="38"/>
      <c r="C52" s="38"/>
      <c r="D52" s="38"/>
      <c r="E52" s="38"/>
      <c r="F52" s="38"/>
      <c r="G52" s="38"/>
      <c r="H52" s="38"/>
      <c r="I52" s="38"/>
      <c r="J52" s="38"/>
      <c r="K52" s="38"/>
      <c r="L52" s="38"/>
      <c r="M52" s="38"/>
      <c r="N52" s="38"/>
      <c r="O52" s="42"/>
      <c r="P52" s="43"/>
    </row>
    <row r="53" spans="1:16" ht="15.75" x14ac:dyDescent="0.25">
      <c r="A53" s="37"/>
      <c r="B53" s="38"/>
      <c r="C53" s="38"/>
      <c r="D53" s="38"/>
      <c r="E53" s="38"/>
      <c r="F53" s="38"/>
      <c r="G53" s="38"/>
      <c r="H53" s="38"/>
      <c r="I53" s="38"/>
      <c r="J53" s="38"/>
      <c r="K53" s="92" t="s">
        <v>149</v>
      </c>
      <c r="L53" s="38"/>
      <c r="M53" s="92" t="s">
        <v>150</v>
      </c>
      <c r="N53" s="38"/>
      <c r="O53" s="42"/>
      <c r="P53" s="43"/>
    </row>
    <row r="54" spans="1:16" ht="15.75" x14ac:dyDescent="0.25">
      <c r="A54" s="37"/>
      <c r="B54" s="38" t="s">
        <v>131</v>
      </c>
      <c r="C54" s="38"/>
      <c r="D54" s="38"/>
      <c r="E54" s="38"/>
      <c r="F54" s="38"/>
      <c r="G54" s="78"/>
      <c r="H54" s="38"/>
      <c r="I54" s="38"/>
      <c r="J54" s="38"/>
      <c r="K54" s="93">
        <f>K12+K49+K50+K51</f>
        <v>61990.730103239373</v>
      </c>
      <c r="L54" s="38"/>
      <c r="M54" s="39">
        <f>K12+K49+K50</f>
        <v>67224.701604142785</v>
      </c>
      <c r="N54" s="38"/>
      <c r="O54" s="42"/>
      <c r="P54" s="43"/>
    </row>
    <row r="55" spans="1:16" ht="15.75" x14ac:dyDescent="0.25">
      <c r="A55" s="37"/>
      <c r="B55" s="38" t="s">
        <v>139</v>
      </c>
      <c r="C55" s="38"/>
      <c r="D55" s="38"/>
      <c r="E55" s="38"/>
      <c r="F55" s="38"/>
      <c r="G55" s="78"/>
      <c r="H55" s="38"/>
      <c r="I55" s="38"/>
      <c r="J55" s="38"/>
      <c r="K55" s="94">
        <f>IF(N12="ledig",IF(K54&lt;=11604,0,
IF(K54&lt;=17005,((922.98*((K54-11604)/10000))+1400)*(K54-11604)/10000,
IF(K54&lt;=66760,((181.19*((K54-17005)/10000))+2397)*(K54-17005)/10000+1025.38,
IF(K54&lt;=277826,(0.42*K54)-10602.13,
IF(K54&gt;277826,(0.45*K54)-18936.88))))),
IF(N12="verheiratet",IF(K54/2&lt;=11604,0,
IF(K54/2&lt;=17005,((922.98*((K54/2-11604)/10000))+1400)*(K54/2-11604)/10000,
IF(K54/2&lt;=66760,((181.19*((K54/2-17005)/10000))+2397)*(K54/2-17005)/10000+1025.38,
IF(K54/2&lt;=277826,(0.42*K54/2)-10602.13,
IF(K54/2&gt;277826,(0.45*K54/2)-18936.88))))))*2)</f>
        <v>15475.230368368939</v>
      </c>
      <c r="L55" s="86"/>
      <c r="M55" s="94">
        <f>IF(N12="ledig",IF(M54&lt;=11604,0,
IF(M54&lt;=17005,((922.98*((M54-11604)/10000))+1400)*(M54-11604)/10000,
IF(M54&lt;=66760,((181.19*((M54-17005)/10000))+2397)*(M54-17005)/10000+1025.38,
IF(M54&lt;=277826,(0.42*M54)-10602.13,
IF(M54&gt;277826,(0.45*M54)-18936.88))))),
IF(N12="verheiratet",IF(M54/2&lt;=11604,0,
IF(M54/2&lt;=17005,((922.98*((M54/2-11604)/10000))+1400)*(M54/2-11604)/10000,
IF(M54/2&lt;=66760,((181.19*((M54/2-17005)/10000))+2397)*(M54/2-17005)/10000+1025.38,
IF(M54/2&lt;=277826,(0.42*M54/2)-10602.13,
IF(M54/2&gt;277826,(0.45*M54/2)-18936.88))))))*2)</f>
        <v>17632.244673739966</v>
      </c>
      <c r="N55" s="38"/>
      <c r="O55" s="42"/>
      <c r="P55" s="43"/>
    </row>
    <row r="56" spans="1:16" ht="15.75" x14ac:dyDescent="0.25">
      <c r="A56" s="37"/>
      <c r="B56" s="38" t="s">
        <v>148</v>
      </c>
      <c r="C56" s="38"/>
      <c r="D56" s="38"/>
      <c r="E56" s="38"/>
      <c r="F56" s="38"/>
      <c r="G56" s="78"/>
      <c r="H56" s="38"/>
      <c r="I56" s="38"/>
      <c r="J56" s="38"/>
      <c r="K56" s="94">
        <f>IF(N12="ledig",
IF(K55&lt;=18130,0,
IF(K55&lt;=33710,(K55-18130)*0.119,
IF(K55&gt;33710,K55*0.055))),
IF(N12="verheiratet",
IF(K55&lt;=36260,0,
IF(K55&lt;=67415,(K55-36260)*0.119,
IF(K55&gt;67415,K55*0.055)))))</f>
        <v>0</v>
      </c>
      <c r="L56" s="38"/>
      <c r="M56" s="94">
        <f>IF(N12="ledig",
IF(M55&lt;=18130,0,
IF(M55&lt;=33710,(M55-18130)*0.119,
IF(M55&gt;33710,M55*0.055))),
IF(N12="verheiratet",
IF(M55&lt;=36260,0,
IF(M55&lt;=67415,(M55-36260)*0.119,
IF(M55&gt;67415,M55*0.055)))))</f>
        <v>0</v>
      </c>
      <c r="N56" s="38"/>
      <c r="O56" s="42"/>
      <c r="P56" s="43"/>
    </row>
    <row r="57" spans="1:16" ht="15.75" x14ac:dyDescent="0.25">
      <c r="A57" s="37"/>
      <c r="B57" s="38" t="s">
        <v>160</v>
      </c>
      <c r="C57" s="38"/>
      <c r="D57" s="38"/>
      <c r="E57" s="38"/>
      <c r="F57" s="38"/>
      <c r="G57" s="78"/>
      <c r="H57" s="38"/>
      <c r="I57" s="38"/>
      <c r="J57" s="38"/>
      <c r="K57" s="94">
        <f>IF($N$13="nein",0,
IF($N$13="8 Prozent",K55*0.08,
IF($N$13="9 Prozent",K55*0.09)))</f>
        <v>1238.0184294695152</v>
      </c>
      <c r="L57" s="38"/>
      <c r="M57" s="94">
        <f>IF($N$13="nein",0,
IF($N$13="8 Prozent",M55*0.08,
IF($N$13="9 Prozent",M55*0.09)))</f>
        <v>1410.5795738991974</v>
      </c>
      <c r="N57" s="38"/>
      <c r="O57" s="42"/>
      <c r="P57" s="43"/>
    </row>
    <row r="58" spans="1:16" ht="15.75" x14ac:dyDescent="0.25">
      <c r="A58" s="37"/>
      <c r="B58" s="38" t="s">
        <v>161</v>
      </c>
      <c r="C58" s="38"/>
      <c r="D58" s="38"/>
      <c r="E58" s="38"/>
      <c r="F58" s="38"/>
      <c r="G58" s="78"/>
      <c r="H58" s="38"/>
      <c r="I58" s="38"/>
      <c r="J58" s="38"/>
      <c r="K58" s="94">
        <f>K56+K55+K57</f>
        <v>16713.248797838452</v>
      </c>
      <c r="L58" s="95"/>
      <c r="M58" s="94">
        <f>M56+M55+M57</f>
        <v>19042.824247639164</v>
      </c>
      <c r="N58" s="38"/>
      <c r="O58" s="42"/>
      <c r="P58" s="43"/>
    </row>
    <row r="59" spans="1:16" ht="15.75" x14ac:dyDescent="0.25">
      <c r="A59" s="37"/>
      <c r="B59" s="38"/>
      <c r="C59" s="38"/>
      <c r="D59" s="38"/>
      <c r="E59" s="38"/>
      <c r="F59" s="38"/>
      <c r="G59" s="38"/>
      <c r="H59" s="38"/>
      <c r="I59" s="38"/>
      <c r="J59" s="38"/>
      <c r="K59" s="41"/>
      <c r="L59" s="38"/>
      <c r="M59" s="41"/>
      <c r="N59" s="78"/>
      <c r="O59" s="96"/>
      <c r="P59" s="43"/>
    </row>
    <row r="60" spans="1:16" ht="15.75" x14ac:dyDescent="0.25">
      <c r="A60" s="37"/>
      <c r="B60" s="78" t="s">
        <v>140</v>
      </c>
      <c r="C60" s="78"/>
      <c r="D60" s="78"/>
      <c r="E60" s="78"/>
      <c r="F60" s="78"/>
      <c r="G60" s="78"/>
      <c r="H60" s="78"/>
      <c r="I60" s="78"/>
      <c r="J60" s="78"/>
      <c r="K60" s="79">
        <f>K16-K58</f>
        <v>3667.927332161551</v>
      </c>
      <c r="L60" s="78"/>
      <c r="M60" s="79">
        <f>K16-M58</f>
        <v>1338.3518823608392</v>
      </c>
      <c r="N60" s="38"/>
      <c r="O60" s="42"/>
      <c r="P60" s="43"/>
    </row>
    <row r="61" spans="1:16" ht="15.75" x14ac:dyDescent="0.25">
      <c r="A61" s="37"/>
      <c r="B61" s="87"/>
      <c r="C61" s="88"/>
      <c r="D61" s="88"/>
      <c r="E61" s="88"/>
      <c r="F61" s="88"/>
      <c r="G61" s="88"/>
      <c r="H61" s="88"/>
      <c r="I61" s="88"/>
      <c r="J61" s="88"/>
      <c r="K61" s="89"/>
      <c r="L61" s="88"/>
      <c r="M61" s="89"/>
      <c r="N61" s="82"/>
      <c r="O61" s="83"/>
      <c r="P61" s="43"/>
    </row>
    <row r="62" spans="1:16" x14ac:dyDescent="0.25">
      <c r="A62" s="43"/>
      <c r="B62" s="43"/>
      <c r="C62" s="43"/>
      <c r="D62" s="43"/>
      <c r="E62" s="43"/>
      <c r="F62" s="43"/>
      <c r="G62" s="43"/>
      <c r="H62" s="43"/>
      <c r="I62" s="43"/>
      <c r="J62" s="43"/>
      <c r="K62" s="43"/>
      <c r="L62" s="43"/>
      <c r="M62" s="43"/>
      <c r="N62" s="43"/>
      <c r="O62" s="43"/>
      <c r="P62" s="43"/>
    </row>
    <row r="63" spans="1:16" ht="20.100000000000001" customHeight="1" x14ac:dyDescent="0.3">
      <c r="A63" s="43"/>
      <c r="B63" s="54" t="s">
        <v>154</v>
      </c>
      <c r="C63" s="54"/>
      <c r="D63" s="54"/>
      <c r="E63" s="54"/>
      <c r="F63" s="54"/>
      <c r="G63" s="54"/>
      <c r="H63" s="54"/>
      <c r="I63" s="54"/>
      <c r="J63" s="54"/>
      <c r="K63" s="54"/>
      <c r="L63" s="54"/>
      <c r="M63" s="54"/>
      <c r="N63" s="54"/>
      <c r="O63" s="54"/>
      <c r="P63" s="43"/>
    </row>
    <row r="64" spans="1:16" ht="15.75" x14ac:dyDescent="0.25">
      <c r="A64" s="37"/>
      <c r="B64" s="38"/>
      <c r="C64" s="38"/>
      <c r="D64" s="38"/>
      <c r="E64" s="38"/>
      <c r="F64" s="38"/>
      <c r="G64" s="38"/>
      <c r="H64" s="38"/>
      <c r="I64" s="38"/>
      <c r="J64" s="38"/>
      <c r="K64" s="40"/>
      <c r="L64" s="38"/>
      <c r="M64" s="38"/>
      <c r="N64" s="38"/>
      <c r="O64" s="42"/>
      <c r="P64" s="43"/>
    </row>
    <row r="65" spans="1:16" ht="15.75" x14ac:dyDescent="0.25">
      <c r="A65" s="37"/>
      <c r="B65" s="38"/>
      <c r="C65" s="38"/>
      <c r="D65" s="38"/>
      <c r="E65" s="38"/>
      <c r="F65" s="38"/>
      <c r="G65" s="38"/>
      <c r="H65" s="38"/>
      <c r="I65" s="38"/>
      <c r="J65" s="38"/>
      <c r="K65" s="92" t="s">
        <v>149</v>
      </c>
      <c r="L65" s="38"/>
      <c r="M65" s="92" t="s">
        <v>150</v>
      </c>
      <c r="N65" s="38"/>
      <c r="O65" s="42"/>
      <c r="P65" s="43"/>
    </row>
    <row r="66" spans="1:16" ht="15.75" x14ac:dyDescent="0.25">
      <c r="A66" s="37"/>
      <c r="B66" s="38" t="s">
        <v>122</v>
      </c>
      <c r="C66" s="38"/>
      <c r="D66" s="38"/>
      <c r="E66" s="38"/>
      <c r="F66" s="38"/>
      <c r="G66" s="38"/>
      <c r="H66" s="38"/>
      <c r="I66" s="38"/>
      <c r="J66" s="38"/>
      <c r="K66" s="93">
        <f>K43</f>
        <v>-1271.2893049481181</v>
      </c>
      <c r="L66" s="38"/>
      <c r="M66" s="93">
        <f>K43</f>
        <v>-1271.2893049481181</v>
      </c>
      <c r="N66" s="38"/>
      <c r="O66" s="42"/>
      <c r="P66" s="43"/>
    </row>
    <row r="67" spans="1:16" ht="15.75" x14ac:dyDescent="0.25">
      <c r="A67" s="37"/>
      <c r="B67" s="38" t="s">
        <v>140</v>
      </c>
      <c r="C67" s="38"/>
      <c r="D67" s="38"/>
      <c r="E67" s="38"/>
      <c r="F67" s="38"/>
      <c r="G67" s="38"/>
      <c r="H67" s="38"/>
      <c r="I67" s="38"/>
      <c r="J67" s="38"/>
      <c r="K67" s="39">
        <f>K60</f>
        <v>3667.927332161551</v>
      </c>
      <c r="L67" s="38"/>
      <c r="M67" s="39">
        <f>M60</f>
        <v>1338.3518823608392</v>
      </c>
      <c r="N67" s="38"/>
      <c r="O67" s="42"/>
      <c r="P67" s="43"/>
    </row>
    <row r="68" spans="1:16" ht="15.75" x14ac:dyDescent="0.25">
      <c r="A68" s="37"/>
      <c r="B68" s="38" t="s">
        <v>145</v>
      </c>
      <c r="C68" s="38"/>
      <c r="D68" s="38"/>
      <c r="E68" s="38"/>
      <c r="F68" s="38"/>
      <c r="G68" s="78"/>
      <c r="H68" s="38"/>
      <c r="I68" s="38"/>
      <c r="J68" s="38"/>
      <c r="K68" s="39">
        <f>K67+K66</f>
        <v>2396.6380272134329</v>
      </c>
      <c r="L68" s="40"/>
      <c r="M68" s="39">
        <f t="shared" ref="M68" si="0">M67+M66</f>
        <v>67.062577412721112</v>
      </c>
      <c r="N68" s="38"/>
      <c r="O68" s="42"/>
      <c r="P68" s="43"/>
    </row>
    <row r="69" spans="1:16" ht="15.75" x14ac:dyDescent="0.25">
      <c r="A69" s="37"/>
      <c r="B69" s="38"/>
      <c r="C69" s="38"/>
      <c r="D69" s="38"/>
      <c r="E69" s="38"/>
      <c r="F69" s="38"/>
      <c r="G69" s="38"/>
      <c r="H69" s="38"/>
      <c r="I69" s="38"/>
      <c r="J69" s="38"/>
      <c r="K69" s="41"/>
      <c r="L69" s="38"/>
      <c r="M69" s="41"/>
      <c r="N69" s="38"/>
      <c r="O69" s="42"/>
      <c r="P69" s="43"/>
    </row>
    <row r="70" spans="1:16" ht="15.75" x14ac:dyDescent="0.25">
      <c r="A70" s="37"/>
      <c r="B70" s="78" t="s">
        <v>146</v>
      </c>
      <c r="C70" s="78"/>
      <c r="D70" s="78"/>
      <c r="E70" s="78"/>
      <c r="F70" s="78"/>
      <c r="G70" s="78"/>
      <c r="H70" s="36">
        <v>0.01</v>
      </c>
      <c r="I70" s="78" t="s">
        <v>115</v>
      </c>
      <c r="J70" s="78"/>
      <c r="K70" s="79">
        <f>H70*$K$30</f>
        <v>1348.2266585566051</v>
      </c>
      <c r="L70" s="78"/>
      <c r="M70" s="79">
        <f>H70*K30</f>
        <v>1348.2266585566051</v>
      </c>
      <c r="N70" s="38"/>
      <c r="O70" s="42"/>
      <c r="P70" s="43"/>
    </row>
    <row r="71" spans="1:16" ht="15.75" x14ac:dyDescent="0.25">
      <c r="A71" s="37"/>
      <c r="B71" s="38"/>
      <c r="C71" s="38"/>
      <c r="D71" s="38"/>
      <c r="E71" s="38"/>
      <c r="F71" s="38"/>
      <c r="G71" s="38"/>
      <c r="H71" s="38"/>
      <c r="I71" s="38"/>
      <c r="J71" s="38"/>
      <c r="K71" s="39"/>
      <c r="L71" s="40"/>
      <c r="M71" s="41"/>
      <c r="N71" s="38"/>
      <c r="O71" s="42"/>
      <c r="P71" s="43"/>
    </row>
    <row r="72" spans="1:16" ht="15.75" x14ac:dyDescent="0.25">
      <c r="A72" s="43"/>
      <c r="B72" s="45" t="s">
        <v>151</v>
      </c>
      <c r="C72" s="45"/>
      <c r="D72" s="45"/>
      <c r="E72" s="45"/>
      <c r="F72" s="45"/>
      <c r="G72" s="45"/>
      <c r="H72" s="45"/>
      <c r="I72" s="45"/>
      <c r="J72" s="45"/>
      <c r="K72" s="46">
        <f>K68-K70</f>
        <v>1048.4113686568278</v>
      </c>
      <c r="L72" s="47"/>
      <c r="M72" s="46">
        <f t="shared" ref="M72" si="1">M68-M70</f>
        <v>-1281.164081143884</v>
      </c>
      <c r="N72" s="48"/>
      <c r="O72" s="48"/>
      <c r="P72" s="43"/>
    </row>
    <row r="73" spans="1:16" ht="15.75" x14ac:dyDescent="0.25">
      <c r="A73" s="43"/>
      <c r="B73" s="48" t="s">
        <v>152</v>
      </c>
      <c r="C73" s="48"/>
      <c r="D73" s="48"/>
      <c r="E73" s="48"/>
      <c r="F73" s="48"/>
      <c r="G73" s="45"/>
      <c r="H73" s="48"/>
      <c r="I73" s="48"/>
      <c r="J73" s="48"/>
      <c r="K73" s="49">
        <f>K72/12</f>
        <v>87.367614054735654</v>
      </c>
      <c r="L73" s="50"/>
      <c r="M73" s="49">
        <f>M72/12</f>
        <v>-106.763673428657</v>
      </c>
      <c r="N73" s="48"/>
      <c r="O73" s="48"/>
      <c r="P73" s="43"/>
    </row>
    <row r="74" spans="1:16" x14ac:dyDescent="0.25">
      <c r="A74" s="43"/>
      <c r="B74" s="51"/>
      <c r="C74" s="51"/>
      <c r="D74" s="51"/>
      <c r="E74" s="51"/>
      <c r="F74" s="51"/>
      <c r="G74" s="52"/>
      <c r="H74" s="51"/>
      <c r="I74" s="51"/>
      <c r="J74" s="51"/>
      <c r="K74" s="53"/>
      <c r="L74" s="53"/>
      <c r="M74" s="53"/>
      <c r="N74" s="51"/>
      <c r="O74" s="51"/>
      <c r="P74" s="43"/>
    </row>
    <row r="75" spans="1:16" ht="14.25" customHeight="1" x14ac:dyDescent="0.25">
      <c r="A75" s="43"/>
      <c r="B75" s="43"/>
      <c r="C75" s="43"/>
      <c r="D75" s="43"/>
      <c r="E75" s="43"/>
      <c r="F75" s="43"/>
      <c r="G75" s="43"/>
      <c r="H75" s="43"/>
      <c r="I75" s="43"/>
      <c r="J75" s="43"/>
      <c r="K75" s="43"/>
      <c r="L75" s="43"/>
      <c r="M75" s="43"/>
      <c r="N75" s="43"/>
      <c r="O75" s="43"/>
      <c r="P75" s="43"/>
    </row>
    <row r="76" spans="1:16" ht="20.100000000000001" customHeight="1" x14ac:dyDescent="0.3">
      <c r="A76" s="43"/>
      <c r="B76" s="54" t="s">
        <v>165</v>
      </c>
      <c r="C76" s="54"/>
      <c r="D76" s="54"/>
      <c r="E76" s="54"/>
      <c r="F76" s="54"/>
      <c r="G76" s="54"/>
      <c r="H76" s="54"/>
      <c r="I76" s="54"/>
      <c r="J76" s="54"/>
      <c r="K76" s="54"/>
      <c r="L76" s="54"/>
      <c r="M76" s="54"/>
      <c r="N76" s="54"/>
      <c r="O76" s="54"/>
      <c r="P76" s="43"/>
    </row>
    <row r="77" spans="1:16" ht="15.75" x14ac:dyDescent="0.25">
      <c r="A77" s="37"/>
      <c r="B77" s="55"/>
      <c r="C77" s="56"/>
      <c r="D77" s="56"/>
      <c r="E77" s="56"/>
      <c r="F77" s="56"/>
      <c r="G77" s="56"/>
      <c r="H77" s="56"/>
      <c r="I77" s="56"/>
      <c r="J77" s="56"/>
      <c r="K77" s="56"/>
      <c r="L77" s="56"/>
      <c r="M77" s="56"/>
      <c r="N77" s="56"/>
      <c r="O77" s="57"/>
      <c r="P77" s="43"/>
    </row>
    <row r="78" spans="1:16" ht="15.75" x14ac:dyDescent="0.25">
      <c r="A78" s="37"/>
      <c r="B78" s="58" t="str">
        <f>IF(K72&gt;0,"Innerhalb der ersten 3 Jahre nach Anschaffung wird ein Überschuss (kummuliert nach Steuern &amp; Tilgung) erwirtschaftet in Höhe von",IF(K72&lt;0,"Innerhalb der ersten 3 Jahre nach Anschaffung beträgt die Unterdeckung nach Steuern und Tilgung (tatsächlicher Aufwand) monatlich:"))</f>
        <v>Innerhalb der ersten 3 Jahre nach Anschaffung wird ein Überschuss (kummuliert nach Steuern &amp; Tilgung) erwirtschaftet in Höhe von</v>
      </c>
      <c r="C78" s="55"/>
      <c r="D78" s="55"/>
      <c r="E78" s="55"/>
      <c r="F78" s="55"/>
      <c r="G78" s="55"/>
      <c r="H78" s="55"/>
      <c r="I78" s="56"/>
      <c r="J78" s="55"/>
      <c r="K78" s="55"/>
      <c r="L78" s="55"/>
      <c r="M78" s="59">
        <f>IF(K73&lt;0,K73*-1,IF(K73&gt;0,K73*12*3))</f>
        <v>3145.2341059704831</v>
      </c>
      <c r="N78" s="55"/>
      <c r="O78" s="60"/>
      <c r="P78" s="43"/>
    </row>
    <row r="79" spans="1:16" ht="15.75" x14ac:dyDescent="0.25">
      <c r="A79" s="37"/>
      <c r="B79" s="55"/>
      <c r="C79" s="55"/>
      <c r="D79" s="55"/>
      <c r="E79" s="55"/>
      <c r="F79" s="55"/>
      <c r="G79" s="55"/>
      <c r="H79" s="55"/>
      <c r="I79" s="59"/>
      <c r="J79" s="55"/>
      <c r="K79" s="55"/>
      <c r="L79" s="55"/>
      <c r="M79" s="55"/>
      <c r="N79" s="55"/>
      <c r="O79" s="60"/>
      <c r="P79" s="43"/>
    </row>
    <row r="80" spans="1:16" ht="15.75" x14ac:dyDescent="0.25">
      <c r="A80" s="37"/>
      <c r="B80" s="58" t="str">
        <f>IF(M72&lt;0,"Anschließend beträgt die monatliche Unterdeckung nach Steuern und Tilgung (tatsächlicher Aufwand) monatlich:",IF(M72&gt;0,"Anschließend beträgt die monatliche Überdeckung nach Steuern und Tilgung (tatsächlicher Ertrag) monatlich:"))</f>
        <v>Anschließend beträgt die monatliche Unterdeckung nach Steuern und Tilgung (tatsächlicher Aufwand) monatlich:</v>
      </c>
      <c r="C80" s="58"/>
      <c r="D80" s="58"/>
      <c r="E80" s="58"/>
      <c r="F80" s="58"/>
      <c r="G80" s="58"/>
      <c r="H80" s="58"/>
      <c r="I80" s="59"/>
      <c r="J80" s="55"/>
      <c r="K80" s="55"/>
      <c r="L80" s="55"/>
      <c r="M80" s="61">
        <f>IF(M73&lt;0,M73*-1,IF(M73&gt;0,M73))</f>
        <v>106.763673428657</v>
      </c>
      <c r="N80" s="55"/>
      <c r="O80" s="60"/>
      <c r="P80" s="43"/>
    </row>
    <row r="81" spans="1:16" ht="15.75" x14ac:dyDescent="0.25">
      <c r="A81" s="37"/>
      <c r="B81" s="58"/>
      <c r="C81" s="58"/>
      <c r="D81" s="58"/>
      <c r="E81" s="58"/>
      <c r="F81" s="58"/>
      <c r="G81" s="58"/>
      <c r="H81" s="58"/>
      <c r="I81" s="59"/>
      <c r="J81" s="55"/>
      <c r="K81" s="55"/>
      <c r="L81" s="55"/>
      <c r="M81" s="61"/>
      <c r="N81" s="55"/>
      <c r="O81" s="60"/>
      <c r="P81" s="43"/>
    </row>
    <row r="82" spans="1:16" ht="15.75" x14ac:dyDescent="0.25">
      <c r="A82" s="37"/>
      <c r="B82" s="56"/>
      <c r="C82" s="56"/>
      <c r="D82" s="58" t="s">
        <v>163</v>
      </c>
      <c r="E82" s="58"/>
      <c r="F82" s="58"/>
      <c r="G82" s="58"/>
      <c r="H82" s="58"/>
      <c r="I82" s="58"/>
      <c r="J82" s="58"/>
      <c r="K82" s="59"/>
      <c r="L82" s="62">
        <f>IF(K72&gt;0,3+(K72*3/M72*-1),IF(K72&lt;0,0))</f>
        <v>5.454981490865924</v>
      </c>
      <c r="M82" s="58" t="s">
        <v>164</v>
      </c>
      <c r="N82" s="55"/>
      <c r="O82" s="60"/>
      <c r="P82" s="43"/>
    </row>
    <row r="83" spans="1:16" ht="15.75" x14ac:dyDescent="0.25">
      <c r="A83" s="37"/>
      <c r="B83" s="55"/>
      <c r="C83" s="55"/>
      <c r="D83" s="55"/>
      <c r="E83" s="55"/>
      <c r="F83" s="55"/>
      <c r="G83" s="55"/>
      <c r="H83" s="55"/>
      <c r="I83" s="55"/>
      <c r="J83" s="55"/>
      <c r="K83" s="55"/>
      <c r="L83" s="55"/>
      <c r="M83" s="55"/>
      <c r="N83" s="55"/>
      <c r="O83" s="63"/>
      <c r="P83" s="43"/>
    </row>
    <row r="84" spans="1:16" ht="15.75" x14ac:dyDescent="0.25">
      <c r="A84" s="37"/>
      <c r="B84" s="55"/>
      <c r="C84" s="55"/>
      <c r="D84" s="55"/>
      <c r="E84" s="55"/>
      <c r="F84" s="55"/>
      <c r="G84" s="55"/>
      <c r="H84" s="55"/>
      <c r="I84" s="55"/>
      <c r="J84" s="55"/>
      <c r="K84" s="55"/>
      <c r="L84" s="55"/>
      <c r="M84" s="55"/>
      <c r="N84" s="55"/>
      <c r="O84" s="63"/>
      <c r="P84" s="43"/>
    </row>
    <row r="85" spans="1:16" ht="15.75" x14ac:dyDescent="0.25">
      <c r="A85" s="37"/>
      <c r="B85" s="64" t="s">
        <v>153</v>
      </c>
      <c r="C85" s="64"/>
      <c r="D85" s="64"/>
      <c r="E85" s="64"/>
      <c r="F85" s="64"/>
      <c r="G85" s="64"/>
      <c r="H85" s="64"/>
      <c r="I85" s="64"/>
      <c r="J85" s="64"/>
      <c r="K85" s="64"/>
      <c r="L85" s="64"/>
      <c r="M85" s="64"/>
      <c r="N85" s="64"/>
      <c r="O85" s="65"/>
      <c r="P85" s="43"/>
    </row>
    <row r="86" spans="1:16" ht="15.75" x14ac:dyDescent="0.25">
      <c r="A86" s="37"/>
      <c r="B86" s="66"/>
      <c r="C86" s="67"/>
      <c r="D86" s="67"/>
      <c r="E86" s="67"/>
      <c r="F86" s="67"/>
      <c r="G86" s="67"/>
      <c r="H86" s="67"/>
      <c r="I86" s="67"/>
      <c r="J86" s="67"/>
      <c r="K86" s="67"/>
      <c r="L86" s="67"/>
      <c r="M86" s="67"/>
      <c r="N86" s="67"/>
      <c r="O86" s="68"/>
      <c r="P86" s="43"/>
    </row>
    <row r="87" spans="1:16" x14ac:dyDescent="0.25">
      <c r="A87" s="43"/>
      <c r="B87" s="43"/>
      <c r="C87" s="43"/>
      <c r="D87" s="43"/>
      <c r="E87" s="43"/>
      <c r="F87" s="43"/>
      <c r="G87" s="43"/>
      <c r="H87" s="43"/>
      <c r="I87" s="43"/>
      <c r="J87" s="43"/>
      <c r="K87" s="43"/>
      <c r="L87" s="43"/>
      <c r="M87" s="43"/>
      <c r="N87" s="43"/>
      <c r="O87" s="43"/>
      <c r="P87" s="43"/>
    </row>
    <row r="88" spans="1:16" ht="15" customHeight="1" x14ac:dyDescent="0.25">
      <c r="A88" s="43"/>
      <c r="B88" s="69" t="s">
        <v>173</v>
      </c>
      <c r="C88" s="70"/>
      <c r="D88" s="70"/>
      <c r="E88" s="70"/>
      <c r="F88" s="70"/>
      <c r="G88" s="70"/>
      <c r="H88" s="70"/>
      <c r="I88" s="70"/>
      <c r="J88" s="70"/>
      <c r="K88" s="70"/>
      <c r="L88" s="70"/>
      <c r="M88" s="70"/>
      <c r="N88" s="70"/>
      <c r="O88" s="71"/>
      <c r="P88" s="43"/>
    </row>
    <row r="89" spans="1:16" x14ac:dyDescent="0.25">
      <c r="A89" s="43"/>
      <c r="B89" s="72"/>
      <c r="C89" s="73"/>
      <c r="D89" s="73"/>
      <c r="E89" s="73"/>
      <c r="F89" s="73"/>
      <c r="G89" s="73"/>
      <c r="H89" s="73"/>
      <c r="I89" s="73"/>
      <c r="J89" s="73"/>
      <c r="K89" s="73"/>
      <c r="L89" s="73"/>
      <c r="M89" s="73"/>
      <c r="N89" s="73"/>
      <c r="O89" s="74"/>
      <c r="P89" s="43"/>
    </row>
    <row r="90" spans="1:16" x14ac:dyDescent="0.25">
      <c r="A90" s="43"/>
      <c r="B90" s="72"/>
      <c r="C90" s="73"/>
      <c r="D90" s="73"/>
      <c r="E90" s="73"/>
      <c r="F90" s="73"/>
      <c r="G90" s="73"/>
      <c r="H90" s="73"/>
      <c r="I90" s="73"/>
      <c r="J90" s="73"/>
      <c r="K90" s="73"/>
      <c r="L90" s="73"/>
      <c r="M90" s="73"/>
      <c r="N90" s="73"/>
      <c r="O90" s="74"/>
      <c r="P90" s="43"/>
    </row>
    <row r="91" spans="1:16" x14ac:dyDescent="0.25">
      <c r="A91" s="43"/>
      <c r="B91" s="72"/>
      <c r="C91" s="73"/>
      <c r="D91" s="73"/>
      <c r="E91" s="73"/>
      <c r="F91" s="73"/>
      <c r="G91" s="73"/>
      <c r="H91" s="73"/>
      <c r="I91" s="73"/>
      <c r="J91" s="73"/>
      <c r="K91" s="73"/>
      <c r="L91" s="73"/>
      <c r="M91" s="73"/>
      <c r="N91" s="73"/>
      <c r="O91" s="74"/>
      <c r="P91" s="43"/>
    </row>
    <row r="92" spans="1:16" x14ac:dyDescent="0.25">
      <c r="A92" s="43"/>
      <c r="B92" s="72"/>
      <c r="C92" s="73"/>
      <c r="D92" s="73"/>
      <c r="E92" s="73"/>
      <c r="F92" s="73"/>
      <c r="G92" s="73"/>
      <c r="H92" s="73"/>
      <c r="I92" s="73"/>
      <c r="J92" s="73"/>
      <c r="K92" s="73"/>
      <c r="L92" s="73"/>
      <c r="M92" s="73"/>
      <c r="N92" s="73"/>
      <c r="O92" s="74"/>
      <c r="P92" s="43"/>
    </row>
    <row r="93" spans="1:16" x14ac:dyDescent="0.25">
      <c r="A93" s="43"/>
      <c r="B93" s="72"/>
      <c r="C93" s="73"/>
      <c r="D93" s="73"/>
      <c r="E93" s="73"/>
      <c r="F93" s="73"/>
      <c r="G93" s="73"/>
      <c r="H93" s="73"/>
      <c r="I93" s="73"/>
      <c r="J93" s="73"/>
      <c r="K93" s="73"/>
      <c r="L93" s="73"/>
      <c r="M93" s="73"/>
      <c r="N93" s="73"/>
      <c r="O93" s="74"/>
      <c r="P93" s="43"/>
    </row>
    <row r="94" spans="1:16" x14ac:dyDescent="0.25">
      <c r="A94" s="43"/>
      <c r="B94" s="72"/>
      <c r="C94" s="73"/>
      <c r="D94" s="73"/>
      <c r="E94" s="73"/>
      <c r="F94" s="73"/>
      <c r="G94" s="73"/>
      <c r="H94" s="73"/>
      <c r="I94" s="73"/>
      <c r="J94" s="73"/>
      <c r="K94" s="73"/>
      <c r="L94" s="73"/>
      <c r="M94" s="73"/>
      <c r="N94" s="73"/>
      <c r="O94" s="74"/>
      <c r="P94" s="43"/>
    </row>
    <row r="95" spans="1:16" x14ac:dyDescent="0.25">
      <c r="A95" s="43"/>
      <c r="B95" s="75"/>
      <c r="C95" s="76"/>
      <c r="D95" s="76"/>
      <c r="E95" s="76"/>
      <c r="F95" s="76"/>
      <c r="G95" s="76"/>
      <c r="H95" s="76"/>
      <c r="I95" s="76"/>
      <c r="J95" s="76"/>
      <c r="K95" s="76"/>
      <c r="L95" s="76"/>
      <c r="M95" s="76"/>
      <c r="N95" s="76"/>
      <c r="O95" s="77"/>
      <c r="P95" s="43"/>
    </row>
    <row r="96" spans="1:16" x14ac:dyDescent="0.25">
      <c r="A96" s="43"/>
      <c r="B96" s="43"/>
      <c r="C96" s="43"/>
      <c r="D96" s="43"/>
      <c r="E96" s="43"/>
      <c r="F96" s="43"/>
      <c r="G96" s="43"/>
      <c r="H96" s="43"/>
      <c r="I96" s="43"/>
      <c r="J96" s="43"/>
      <c r="K96" s="43"/>
      <c r="L96" s="43"/>
      <c r="M96" s="43"/>
      <c r="N96" s="43"/>
      <c r="O96" s="43"/>
      <c r="P96" s="43"/>
    </row>
  </sheetData>
  <sheetProtection algorithmName="SHA-512" hashValue="QKFYRTMJFbqSRJMfrZTVs4FT2OUYsdNfuH3333n+p70Wa4a9I/otOoaXsWGx/0k+QPe2PfWQ8qTgaptKu47i0g==" saltValue="CMPwqUweJprC53mwQyGFrA==" spinCount="100000" sheet="1" objects="1" scenarios="1"/>
  <mergeCells count="8">
    <mergeCell ref="B88:O95"/>
    <mergeCell ref="B85:O85"/>
    <mergeCell ref="B76:O76"/>
    <mergeCell ref="B7:O8"/>
    <mergeCell ref="B19:O19"/>
    <mergeCell ref="B34:O34"/>
    <mergeCell ref="B47:O47"/>
    <mergeCell ref="B63:O63"/>
  </mergeCells>
  <pageMargins left="0.7" right="0.7" top="0.78740157499999996" bottom="0.78740157499999996" header="0.3" footer="0.3"/>
  <pageSetup paperSize="9" scale="42"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A266F00-D734-43E5-8D2E-9CFDC58B4C89}">
          <x14:formula1>
            <xm:f>Kaufpreisliste!$B$7:$B$51</xm:f>
          </x14:formula1>
          <xm:sqref>D12</xm:sqref>
        </x14:dataValidation>
        <x14:dataValidation type="list" allowBlank="1" showInputMessage="1" showErrorMessage="1" xr:uid="{B13970FE-8AC4-400F-A896-741D4E007396}">
          <x14:formula1>
            <xm:f>Tabelle3!$K$4:$K$5</xm:f>
          </x14:formula1>
          <xm:sqref>N12</xm:sqref>
        </x14:dataValidation>
        <x14:dataValidation type="list" allowBlank="1" showInputMessage="1" showErrorMessage="1" xr:uid="{9F07B15E-AB5A-4205-AEFA-406F6A5FB271}">
          <x14:formula1>
            <xm:f>Tabelle3!$K$7:$K$9</xm:f>
          </x14:formula1>
          <xm:sqref>N13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21897-716E-4B31-A4B2-F0260F19C000}">
  <sheetPr>
    <pageSetUpPr fitToPage="1"/>
  </sheetPr>
  <dimension ref="B2:M51"/>
  <sheetViews>
    <sheetView zoomScale="90" zoomScaleNormal="90" workbookViewId="0">
      <selection activeCell="I13" sqref="I13"/>
    </sheetView>
  </sheetViews>
  <sheetFormatPr baseColWidth="10" defaultRowHeight="15" x14ac:dyDescent="0.25"/>
  <cols>
    <col min="1" max="1" width="6.85546875" customWidth="1"/>
    <col min="2" max="2" width="10.7109375" customWidth="1"/>
    <col min="3" max="3" width="20.85546875" customWidth="1"/>
    <col min="4" max="4" width="13.5703125" style="3" customWidth="1"/>
    <col min="5" max="5" width="20.42578125" customWidth="1"/>
    <col min="6" max="6" width="21.140625" customWidth="1"/>
    <col min="7" max="7" width="15.140625" customWidth="1"/>
    <col min="8" max="8" width="27.140625" customWidth="1"/>
    <col min="9" max="9" width="23.5703125" customWidth="1"/>
    <col min="10" max="10" width="36.28515625" style="3" customWidth="1"/>
    <col min="11" max="11" width="21.7109375" style="27" customWidth="1"/>
    <col min="12" max="12" width="16.28515625" customWidth="1"/>
    <col min="13" max="13" width="21.7109375" style="6" customWidth="1"/>
  </cols>
  <sheetData>
    <row r="2" spans="2:13" ht="24" x14ac:dyDescent="0.4">
      <c r="B2" s="30" t="s">
        <v>174</v>
      </c>
    </row>
    <row r="3" spans="2:13" x14ac:dyDescent="0.25">
      <c r="B3" t="s">
        <v>175</v>
      </c>
    </row>
    <row r="5" spans="2:13" x14ac:dyDescent="0.25">
      <c r="B5" s="9"/>
      <c r="C5" s="9"/>
      <c r="D5" s="9"/>
      <c r="E5" s="9"/>
      <c r="F5" s="9"/>
      <c r="G5" s="9"/>
      <c r="H5" s="9"/>
      <c r="I5" s="9"/>
      <c r="J5" s="9"/>
      <c r="K5" s="26"/>
      <c r="L5" s="9"/>
      <c r="M5" s="9"/>
    </row>
    <row r="6" spans="2:13" x14ac:dyDescent="0.25">
      <c r="B6" t="s">
        <v>102</v>
      </c>
      <c r="C6" t="s">
        <v>51</v>
      </c>
      <c r="D6" s="3" t="s">
        <v>46</v>
      </c>
      <c r="E6" t="s">
        <v>47</v>
      </c>
      <c r="F6" t="s">
        <v>48</v>
      </c>
      <c r="G6" t="s">
        <v>171</v>
      </c>
      <c r="H6" t="s">
        <v>49</v>
      </c>
      <c r="I6" t="s">
        <v>53</v>
      </c>
      <c r="J6" s="3" t="s">
        <v>50</v>
      </c>
      <c r="K6" s="27" t="s">
        <v>54</v>
      </c>
      <c r="L6" t="s">
        <v>55</v>
      </c>
      <c r="M6" s="6" t="s">
        <v>56</v>
      </c>
    </row>
    <row r="7" spans="2:13" x14ac:dyDescent="0.25">
      <c r="B7" s="8" t="s">
        <v>70</v>
      </c>
      <c r="C7" t="s">
        <v>13</v>
      </c>
      <c r="D7" s="3">
        <v>79.599999999999994</v>
      </c>
      <c r="E7" t="s">
        <v>176</v>
      </c>
      <c r="F7" s="1">
        <v>167971.19999999998</v>
      </c>
      <c r="G7" s="1">
        <f>Tabelle1[[#This Row],[Kaufpreis Wohnung]]/Tabelle1[[#This Row],[Fläche]]</f>
        <v>2110.1909547738692</v>
      </c>
      <c r="H7" s="2">
        <v>41863.357262048972</v>
      </c>
      <c r="I7" s="2">
        <v>14500</v>
      </c>
      <c r="J7" s="4">
        <v>224334.55726204894</v>
      </c>
      <c r="K7" s="28">
        <v>7.1</v>
      </c>
      <c r="L7" s="5">
        <v>45</v>
      </c>
      <c r="M7" s="7">
        <f t="shared" ref="M7:M51" si="0">(K7*D7)+L7</f>
        <v>610.16</v>
      </c>
    </row>
    <row r="8" spans="2:13" x14ac:dyDescent="0.25">
      <c r="B8" s="8" t="s">
        <v>93</v>
      </c>
      <c r="C8" t="s">
        <v>36</v>
      </c>
      <c r="D8" s="3">
        <v>90.22</v>
      </c>
      <c r="E8" t="s">
        <v>177</v>
      </c>
      <c r="F8" s="1">
        <v>272371.76470588235</v>
      </c>
      <c r="G8" s="1">
        <f>Tabelle1[[#This Row],[Kaufpreis Wohnung]]/Tabelle1[[#This Row],[Fläche]]</f>
        <v>3018.9732288393079</v>
      </c>
      <c r="H8" s="2">
        <v>47448.644374146468</v>
      </c>
      <c r="I8" s="2">
        <v>14500</v>
      </c>
      <c r="J8" s="4">
        <v>334320.40908002882</v>
      </c>
      <c r="K8" s="28">
        <v>9.8000000000000007</v>
      </c>
      <c r="L8" s="5">
        <v>45</v>
      </c>
      <c r="M8" s="7">
        <f t="shared" si="0"/>
        <v>929.15600000000006</v>
      </c>
    </row>
    <row r="9" spans="2:13" x14ac:dyDescent="0.25">
      <c r="B9" s="8" t="s">
        <v>58</v>
      </c>
      <c r="C9" t="s">
        <v>1</v>
      </c>
      <c r="D9" s="3">
        <v>37.32</v>
      </c>
      <c r="E9" t="s">
        <v>170</v>
      </c>
      <c r="F9" s="1">
        <v>100695.27272727272</v>
      </c>
      <c r="G9" s="1">
        <f>Tabelle1[[#This Row],[Kaufpreis Wohnung]]/Tabelle1[[#This Row],[Fläche]]</f>
        <v>2698.1584332066645</v>
      </c>
      <c r="H9" s="2">
        <v>19627.393128387786</v>
      </c>
      <c r="I9" s="2">
        <v>14500</v>
      </c>
      <c r="J9" s="4">
        <v>134822.66585566051</v>
      </c>
      <c r="K9" s="28">
        <v>8.6</v>
      </c>
      <c r="L9" s="5">
        <v>45</v>
      </c>
      <c r="M9" s="7">
        <f t="shared" si="0"/>
        <v>365.952</v>
      </c>
    </row>
    <row r="10" spans="2:13" x14ac:dyDescent="0.25">
      <c r="B10" s="8" t="s">
        <v>86</v>
      </c>
      <c r="C10" t="s">
        <v>29</v>
      </c>
      <c r="D10" s="3">
        <v>90.05</v>
      </c>
      <c r="E10" t="s">
        <v>176</v>
      </c>
      <c r="F10" s="1">
        <v>190121.73913043478</v>
      </c>
      <c r="G10" s="1">
        <f>Tabelle1[[#This Row],[Kaufpreis Wohnung]]/Tabelle1[[#This Row],[Fläche]]</f>
        <v>2111.2908287666273</v>
      </c>
      <c r="H10" s="2">
        <v>47359.237706627013</v>
      </c>
      <c r="I10" s="2">
        <v>14500</v>
      </c>
      <c r="J10" s="4">
        <v>251980.97683706181</v>
      </c>
      <c r="K10" s="28">
        <v>7.1</v>
      </c>
      <c r="L10" s="5">
        <v>45</v>
      </c>
      <c r="M10" s="7">
        <f t="shared" si="0"/>
        <v>684.3549999999999</v>
      </c>
    </row>
    <row r="11" spans="2:13" x14ac:dyDescent="0.25">
      <c r="B11" s="8" t="s">
        <v>59</v>
      </c>
      <c r="C11" t="s">
        <v>2</v>
      </c>
      <c r="D11" s="3">
        <v>37.32</v>
      </c>
      <c r="E11" t="s">
        <v>170</v>
      </c>
      <c r="F11" s="1">
        <v>100585.07462686568</v>
      </c>
      <c r="G11" s="1">
        <f>Tabelle1[[#This Row],[Kaufpreis Wohnung]]/Tabelle1[[#This Row],[Fläche]]</f>
        <v>2695.2056438066902</v>
      </c>
      <c r="H11" s="2">
        <v>19627.393128387786</v>
      </c>
      <c r="I11" s="2">
        <v>14500</v>
      </c>
      <c r="J11" s="4">
        <v>134712.46775525348</v>
      </c>
      <c r="K11" s="28">
        <v>8.6</v>
      </c>
      <c r="L11" s="5">
        <v>45</v>
      </c>
      <c r="M11" s="7">
        <f t="shared" si="0"/>
        <v>365.952</v>
      </c>
    </row>
    <row r="12" spans="2:13" x14ac:dyDescent="0.25">
      <c r="B12" s="8" t="s">
        <v>75</v>
      </c>
      <c r="C12" t="s">
        <v>18</v>
      </c>
      <c r="D12" s="3">
        <v>80.239999999999995</v>
      </c>
      <c r="E12" t="s">
        <v>176</v>
      </c>
      <c r="F12" s="1">
        <v>170933.79310344826</v>
      </c>
      <c r="G12" s="1">
        <f>Tabelle1[[#This Row],[Kaufpreis Wohnung]]/Tabelle1[[#This Row],[Fläche]]</f>
        <v>2130.2815690858461</v>
      </c>
      <c r="H12" s="2">
        <v>42199.947069181027</v>
      </c>
      <c r="I12" s="2">
        <v>14500</v>
      </c>
      <c r="J12" s="4">
        <v>227633.7401726293</v>
      </c>
      <c r="K12" s="28">
        <v>7.1</v>
      </c>
      <c r="L12" s="5">
        <v>45</v>
      </c>
      <c r="M12" s="7">
        <f t="shared" si="0"/>
        <v>614.70399999999995</v>
      </c>
    </row>
    <row r="13" spans="2:13" x14ac:dyDescent="0.25">
      <c r="B13" s="8" t="s">
        <v>92</v>
      </c>
      <c r="C13" t="s">
        <v>35</v>
      </c>
      <c r="D13" s="3">
        <v>90.22</v>
      </c>
      <c r="E13" t="s">
        <v>176</v>
      </c>
      <c r="F13" s="1">
        <v>191270.45454545453</v>
      </c>
      <c r="G13" s="1">
        <f>Tabelle1[[#This Row],[Kaufpreis Wohnung]]/Tabelle1[[#This Row],[Fläche]]</f>
        <v>2120.044940650128</v>
      </c>
      <c r="H13" s="2">
        <v>47448.644374146468</v>
      </c>
      <c r="I13" s="2">
        <v>14500</v>
      </c>
      <c r="J13" s="4">
        <v>253219.09891960101</v>
      </c>
      <c r="K13" s="28">
        <v>7.1</v>
      </c>
      <c r="L13" s="5">
        <v>45</v>
      </c>
      <c r="M13" s="7">
        <f t="shared" si="0"/>
        <v>685.56200000000001</v>
      </c>
    </row>
    <row r="14" spans="2:13" x14ac:dyDescent="0.25">
      <c r="B14" s="8" t="s">
        <v>61</v>
      </c>
      <c r="C14" t="s">
        <v>4</v>
      </c>
      <c r="D14" s="3">
        <v>37.32</v>
      </c>
      <c r="E14" t="s">
        <v>45</v>
      </c>
      <c r="F14" s="1">
        <v>142608.69565217389</v>
      </c>
      <c r="G14" s="1">
        <f>Tabelle1[[#This Row],[Kaufpreis Wohnung]]/Tabelle1[[#This Row],[Fläche]]</f>
        <v>3821.2405051493538</v>
      </c>
      <c r="H14" s="2">
        <v>19627.393128387786</v>
      </c>
      <c r="I14" s="29" t="s">
        <v>172</v>
      </c>
      <c r="J14" s="4">
        <v>162236.08878056167</v>
      </c>
      <c r="K14" s="28">
        <v>12</v>
      </c>
      <c r="M14" s="7">
        <f t="shared" si="0"/>
        <v>447.84000000000003</v>
      </c>
    </row>
    <row r="15" spans="2:13" x14ac:dyDescent="0.25">
      <c r="B15" s="8" t="s">
        <v>73</v>
      </c>
      <c r="C15" t="s">
        <v>16</v>
      </c>
      <c r="D15" s="3">
        <v>79.599999999999994</v>
      </c>
      <c r="E15" t="s">
        <v>177</v>
      </c>
      <c r="F15" s="1">
        <v>241875</v>
      </c>
      <c r="G15" s="1">
        <f>Tabelle1[[#This Row],[Kaufpreis Wohnung]]/Tabelle1[[#This Row],[Fläche]]</f>
        <v>3038.630653266332</v>
      </c>
      <c r="H15" s="2">
        <v>41863.357262048972</v>
      </c>
      <c r="I15" s="2">
        <v>14500</v>
      </c>
      <c r="J15" s="4">
        <v>298238.35726204899</v>
      </c>
      <c r="K15" s="28">
        <v>9.8000000000000007</v>
      </c>
      <c r="L15" s="5">
        <v>45</v>
      </c>
      <c r="M15" s="7">
        <f t="shared" si="0"/>
        <v>825.08</v>
      </c>
    </row>
    <row r="16" spans="2:13" x14ac:dyDescent="0.25">
      <c r="B16" s="8" t="s">
        <v>87</v>
      </c>
      <c r="C16" t="s">
        <v>30</v>
      </c>
      <c r="D16" s="3">
        <v>90.05</v>
      </c>
      <c r="E16" t="s">
        <v>177</v>
      </c>
      <c r="F16" s="1">
        <v>274576.27118644072</v>
      </c>
      <c r="G16" s="1">
        <f>Tabelle1[[#This Row],[Kaufpreis Wohnung]]/Tabelle1[[#This Row],[Fläche]]</f>
        <v>3049.1534834696358</v>
      </c>
      <c r="H16" s="2">
        <v>47359.237706627013</v>
      </c>
      <c r="I16" s="2">
        <v>14500</v>
      </c>
      <c r="J16" s="4">
        <v>336435.50889306772</v>
      </c>
      <c r="K16" s="28">
        <v>9.8000000000000007</v>
      </c>
      <c r="L16" s="5">
        <v>45</v>
      </c>
      <c r="M16" s="7">
        <f t="shared" si="0"/>
        <v>927.49</v>
      </c>
    </row>
    <row r="17" spans="2:13" x14ac:dyDescent="0.25">
      <c r="B17" s="8" t="s">
        <v>62</v>
      </c>
      <c r="C17" t="s">
        <v>5</v>
      </c>
      <c r="D17" s="3">
        <v>37.32</v>
      </c>
      <c r="E17" t="s">
        <v>45</v>
      </c>
      <c r="F17" s="1">
        <v>142857.14285714287</v>
      </c>
      <c r="G17" s="1">
        <f>Tabelle1[[#This Row],[Kaufpreis Wohnung]]/Tabelle1[[#This Row],[Fläche]]</f>
        <v>3827.89771857296</v>
      </c>
      <c r="H17" s="2">
        <v>19627.393128387786</v>
      </c>
      <c r="I17" s="2">
        <v>14500</v>
      </c>
      <c r="J17" s="4">
        <v>176984.53598553065</v>
      </c>
      <c r="K17" s="28">
        <v>12</v>
      </c>
      <c r="L17" s="5">
        <v>45</v>
      </c>
      <c r="M17" s="7">
        <f t="shared" si="0"/>
        <v>492.84000000000003</v>
      </c>
    </row>
    <row r="18" spans="2:13" x14ac:dyDescent="0.25">
      <c r="B18" s="8" t="s">
        <v>78</v>
      </c>
      <c r="C18" t="s">
        <v>21</v>
      </c>
      <c r="D18" s="3">
        <v>80.239999999999995</v>
      </c>
      <c r="E18" t="s">
        <v>177</v>
      </c>
      <c r="F18" s="1">
        <v>243085.71428571426</v>
      </c>
      <c r="G18" s="1">
        <f>Tabelle1[[#This Row],[Kaufpreis Wohnung]]/Tabelle1[[#This Row],[Fläche]]</f>
        <v>3029.4829796325307</v>
      </c>
      <c r="H18" s="2">
        <v>42199.947069181027</v>
      </c>
      <c r="I18" s="2">
        <v>14500</v>
      </c>
      <c r="J18" s="4">
        <v>299785.66135489527</v>
      </c>
      <c r="K18" s="28">
        <v>9.8000000000000007</v>
      </c>
      <c r="L18" s="5">
        <v>45</v>
      </c>
      <c r="M18" s="7">
        <f t="shared" si="0"/>
        <v>831.35199999999998</v>
      </c>
    </row>
    <row r="19" spans="2:13" x14ac:dyDescent="0.25">
      <c r="B19" s="8" t="s">
        <v>91</v>
      </c>
      <c r="C19" t="s">
        <v>34</v>
      </c>
      <c r="D19" s="3">
        <v>90.22</v>
      </c>
      <c r="E19" t="s">
        <v>176</v>
      </c>
      <c r="F19" s="1">
        <v>191492.90322580645</v>
      </c>
      <c r="G19" s="1">
        <f>Tabelle1[[#This Row],[Kaufpreis Wohnung]]/Tabelle1[[#This Row],[Fläche]]</f>
        <v>2122.5105655708985</v>
      </c>
      <c r="H19" s="2">
        <v>47448.644374146468</v>
      </c>
      <c r="I19" s="2">
        <v>14500</v>
      </c>
      <c r="J19" s="4">
        <v>253441.54759995293</v>
      </c>
      <c r="K19" s="28">
        <v>7.1</v>
      </c>
      <c r="L19" s="5">
        <v>45</v>
      </c>
      <c r="M19" s="7">
        <f t="shared" si="0"/>
        <v>685.56200000000001</v>
      </c>
    </row>
    <row r="20" spans="2:13" x14ac:dyDescent="0.25">
      <c r="B20" s="8" t="s">
        <v>67</v>
      </c>
      <c r="C20" t="s">
        <v>10</v>
      </c>
      <c r="D20" s="3">
        <v>37.32</v>
      </c>
      <c r="E20" t="s">
        <v>45</v>
      </c>
      <c r="F20" s="1">
        <v>143291.07692307691</v>
      </c>
      <c r="G20" s="1">
        <f>Tabelle1[[#This Row],[Kaufpreis Wohnung]]/Tabelle1[[#This Row],[Fläche]]</f>
        <v>3839.5251051199598</v>
      </c>
      <c r="H20" s="2">
        <v>19627.393128387786</v>
      </c>
      <c r="I20" s="2">
        <v>14500</v>
      </c>
      <c r="J20" s="4">
        <v>177418.47005146468</v>
      </c>
      <c r="K20" s="28">
        <v>12</v>
      </c>
      <c r="L20" s="5">
        <v>45</v>
      </c>
      <c r="M20" s="7">
        <f t="shared" si="0"/>
        <v>492.84000000000003</v>
      </c>
    </row>
    <row r="21" spans="2:13" x14ac:dyDescent="0.25">
      <c r="B21" s="8" t="s">
        <v>72</v>
      </c>
      <c r="C21" t="s">
        <v>15</v>
      </c>
      <c r="D21" s="3">
        <v>79.599999999999994</v>
      </c>
      <c r="E21" t="s">
        <v>176</v>
      </c>
      <c r="F21" s="1">
        <v>168923.07692307694</v>
      </c>
      <c r="G21" s="1">
        <f>Tabelle1[[#This Row],[Kaufpreis Wohnung]]/Tabelle1[[#This Row],[Fläche]]</f>
        <v>2122.1492075763435</v>
      </c>
      <c r="H21" s="2">
        <v>41863.357262048972</v>
      </c>
      <c r="I21" s="2">
        <v>14500</v>
      </c>
      <c r="J21" s="4">
        <v>225286.43418512592</v>
      </c>
      <c r="K21" s="28">
        <v>7.1</v>
      </c>
      <c r="L21" s="5">
        <v>45</v>
      </c>
      <c r="M21" s="7">
        <f t="shared" si="0"/>
        <v>610.16</v>
      </c>
    </row>
    <row r="22" spans="2:13" x14ac:dyDescent="0.25">
      <c r="B22" s="8" t="s">
        <v>83</v>
      </c>
      <c r="C22" t="s">
        <v>26</v>
      </c>
      <c r="D22" s="3">
        <v>90.05</v>
      </c>
      <c r="E22" t="s">
        <v>176</v>
      </c>
      <c r="F22" s="1">
        <v>190982.06896551725</v>
      </c>
      <c r="G22" s="1">
        <f>Tabelle1[[#This Row],[Kaufpreis Wohnung]]/Tabelle1[[#This Row],[Fläche]]</f>
        <v>2120.8447414271768</v>
      </c>
      <c r="H22" s="2">
        <v>47359.237706627013</v>
      </c>
      <c r="I22" s="2">
        <v>14500</v>
      </c>
      <c r="J22" s="4">
        <v>252841.30667214427</v>
      </c>
      <c r="K22" s="28">
        <v>7.1</v>
      </c>
      <c r="L22" s="5">
        <v>45</v>
      </c>
      <c r="M22" s="7">
        <f t="shared" si="0"/>
        <v>684.3549999999999</v>
      </c>
    </row>
    <row r="23" spans="2:13" x14ac:dyDescent="0.25">
      <c r="B23" s="8" t="s">
        <v>69</v>
      </c>
      <c r="C23" t="s">
        <v>12</v>
      </c>
      <c r="D23" s="3">
        <v>37.32</v>
      </c>
      <c r="E23" t="s">
        <v>45</v>
      </c>
      <c r="F23" s="1">
        <v>145090.90909090909</v>
      </c>
      <c r="G23" s="1">
        <f>Tabelle1[[#This Row],[Kaufpreis Wohnung]]/Tabelle1[[#This Row],[Fläche]]</f>
        <v>3887.7521192633731</v>
      </c>
      <c r="H23" s="2">
        <v>19627.393128387786</v>
      </c>
      <c r="I23" s="2">
        <v>14500</v>
      </c>
      <c r="J23" s="4">
        <v>179218.30221929686</v>
      </c>
      <c r="K23" s="28">
        <v>12</v>
      </c>
      <c r="L23" s="5">
        <v>45</v>
      </c>
      <c r="M23" s="7">
        <f t="shared" si="0"/>
        <v>492.84000000000003</v>
      </c>
    </row>
    <row r="24" spans="2:13" x14ac:dyDescent="0.25">
      <c r="B24" s="8" t="s">
        <v>81</v>
      </c>
      <c r="C24" t="s">
        <v>24</v>
      </c>
      <c r="D24" s="3">
        <v>80.239999999999995</v>
      </c>
      <c r="E24" t="s">
        <v>177</v>
      </c>
      <c r="F24" s="1">
        <v>244763.33333333334</v>
      </c>
      <c r="G24" s="1">
        <f>Tabelle1[[#This Row],[Kaufpreis Wohnung]]/Tabelle1[[#This Row],[Fläche]]</f>
        <v>3050.3904951811237</v>
      </c>
      <c r="H24" s="2">
        <v>42199.947069181027</v>
      </c>
      <c r="I24" s="2">
        <v>14500</v>
      </c>
      <c r="J24" s="4">
        <v>301463.28040251439</v>
      </c>
      <c r="K24" s="28">
        <v>9.8000000000000007</v>
      </c>
      <c r="L24" s="5">
        <v>45</v>
      </c>
      <c r="M24" s="7">
        <f t="shared" si="0"/>
        <v>831.35199999999998</v>
      </c>
    </row>
    <row r="25" spans="2:13" x14ac:dyDescent="0.25">
      <c r="B25" s="8" t="s">
        <v>94</v>
      </c>
      <c r="C25" t="s">
        <v>37</v>
      </c>
      <c r="D25" s="3">
        <v>90.22</v>
      </c>
      <c r="E25" t="s">
        <v>177</v>
      </c>
      <c r="F25" s="1">
        <v>272250</v>
      </c>
      <c r="G25" s="1">
        <f>Tabelle1[[#This Row],[Kaufpreis Wohnung]]/Tabelle1[[#This Row],[Fläche]]</f>
        <v>3017.6235867878518</v>
      </c>
      <c r="H25" s="2">
        <v>47448.644374146468</v>
      </c>
      <c r="I25" s="2">
        <v>14500</v>
      </c>
      <c r="J25" s="4">
        <v>334198.64437414648</v>
      </c>
      <c r="K25" s="28">
        <v>9.8000000000000007</v>
      </c>
      <c r="L25" s="5">
        <v>45</v>
      </c>
      <c r="M25" s="7">
        <f t="shared" si="0"/>
        <v>929.15600000000006</v>
      </c>
    </row>
    <row r="26" spans="2:13" x14ac:dyDescent="0.25">
      <c r="B26" s="8" t="s">
        <v>65</v>
      </c>
      <c r="C26" t="s">
        <v>8</v>
      </c>
      <c r="D26" s="3">
        <v>37.32</v>
      </c>
      <c r="E26" t="s">
        <v>45</v>
      </c>
      <c r="F26" s="1">
        <v>144726.8138801262</v>
      </c>
      <c r="G26" s="1">
        <f>Tabelle1[[#This Row],[Kaufpreis Wohnung]]/Tabelle1[[#This Row],[Fläche]]</f>
        <v>3877.9960846764789</v>
      </c>
      <c r="H26" s="2">
        <v>19627.393128387786</v>
      </c>
      <c r="I26" s="2">
        <v>14500</v>
      </c>
      <c r="J26" s="4">
        <v>178854.20700851397</v>
      </c>
      <c r="K26" s="28">
        <v>12</v>
      </c>
      <c r="L26" s="5">
        <v>45</v>
      </c>
      <c r="M26" s="7">
        <f t="shared" si="0"/>
        <v>492.84000000000003</v>
      </c>
    </row>
    <row r="27" spans="2:13" x14ac:dyDescent="0.25">
      <c r="B27" s="8" t="s">
        <v>74</v>
      </c>
      <c r="C27" t="s">
        <v>17</v>
      </c>
      <c r="D27" s="3">
        <v>79.599999999999994</v>
      </c>
      <c r="E27" t="s">
        <v>177</v>
      </c>
      <c r="F27" s="1">
        <v>244000.00000000003</v>
      </c>
      <c r="G27" s="1">
        <f>Tabelle1[[#This Row],[Kaufpreis Wohnung]]/Tabelle1[[#This Row],[Fläche]]</f>
        <v>3065.3266331658297</v>
      </c>
      <c r="H27" s="2">
        <v>41863.357262048972</v>
      </c>
      <c r="I27" s="2">
        <v>14500</v>
      </c>
      <c r="J27" s="4">
        <v>300363.35726204899</v>
      </c>
      <c r="K27" s="28">
        <v>9.8000000000000007</v>
      </c>
      <c r="L27" s="5">
        <v>45</v>
      </c>
      <c r="M27" s="7">
        <f t="shared" si="0"/>
        <v>825.08</v>
      </c>
    </row>
    <row r="28" spans="2:13" x14ac:dyDescent="0.25">
      <c r="B28" s="8" t="s">
        <v>84</v>
      </c>
      <c r="C28" t="s">
        <v>27</v>
      </c>
      <c r="D28" s="3">
        <v>90.05</v>
      </c>
      <c r="E28" t="s">
        <v>176</v>
      </c>
      <c r="F28" s="1">
        <v>190982.06896551725</v>
      </c>
      <c r="G28" s="1">
        <f>Tabelle1[[#This Row],[Kaufpreis Wohnung]]/Tabelle1[[#This Row],[Fläche]]</f>
        <v>2120.8447414271768</v>
      </c>
      <c r="H28" s="2">
        <v>47359.237706627013</v>
      </c>
      <c r="I28" s="2">
        <v>14500</v>
      </c>
      <c r="J28" s="4">
        <v>252841.30667214427</v>
      </c>
      <c r="K28" s="28">
        <v>7.1</v>
      </c>
      <c r="L28" s="5">
        <v>45</v>
      </c>
      <c r="M28" s="7">
        <f t="shared" si="0"/>
        <v>684.3549999999999</v>
      </c>
    </row>
    <row r="29" spans="2:13" x14ac:dyDescent="0.25">
      <c r="B29" s="8" t="s">
        <v>68</v>
      </c>
      <c r="C29" t="s">
        <v>11</v>
      </c>
      <c r="D29" s="3">
        <v>37.32</v>
      </c>
      <c r="E29" t="s">
        <v>45</v>
      </c>
      <c r="F29" s="1">
        <v>144316.36363636365</v>
      </c>
      <c r="G29" s="1">
        <f>Tabelle1[[#This Row],[Kaufpreis Wohnung]]/Tabelle1[[#This Row],[Fläche]]</f>
        <v>3866.9979538146745</v>
      </c>
      <c r="H29" s="2">
        <v>19627.393128387786</v>
      </c>
      <c r="I29" s="2">
        <v>14500</v>
      </c>
      <c r="J29" s="4">
        <v>178443.75676475142</v>
      </c>
      <c r="K29" s="28">
        <v>12</v>
      </c>
      <c r="L29" s="5">
        <v>45</v>
      </c>
      <c r="M29" s="7">
        <f t="shared" si="0"/>
        <v>492.84000000000003</v>
      </c>
    </row>
    <row r="30" spans="2:13" x14ac:dyDescent="0.25">
      <c r="B30" s="8" t="s">
        <v>79</v>
      </c>
      <c r="C30" t="s">
        <v>22</v>
      </c>
      <c r="D30" s="3">
        <v>80.239999999999995</v>
      </c>
      <c r="E30" t="s">
        <v>177</v>
      </c>
      <c r="F30" s="1">
        <v>244368</v>
      </c>
      <c r="G30" s="1">
        <f>Tabelle1[[#This Row],[Kaufpreis Wohnung]]/Tabelle1[[#This Row],[Fläche]]</f>
        <v>3045.4636091724828</v>
      </c>
      <c r="H30" s="2">
        <v>42199.947069181027</v>
      </c>
      <c r="I30" s="2">
        <v>14500</v>
      </c>
      <c r="J30" s="4">
        <v>301067.94706918101</v>
      </c>
      <c r="K30" s="28">
        <v>9.8000000000000007</v>
      </c>
      <c r="L30" s="5">
        <v>45</v>
      </c>
      <c r="M30" s="7">
        <f t="shared" si="0"/>
        <v>831.35199999999998</v>
      </c>
    </row>
    <row r="31" spans="2:13" x14ac:dyDescent="0.25">
      <c r="B31" s="8" t="s">
        <v>95</v>
      </c>
      <c r="C31" t="s">
        <v>38</v>
      </c>
      <c r="D31" s="3">
        <v>90.22</v>
      </c>
      <c r="E31" t="s">
        <v>177</v>
      </c>
      <c r="F31" s="1">
        <v>274545.45454545453</v>
      </c>
      <c r="G31" s="1">
        <f>Tabelle1[[#This Row],[Kaufpreis Wohnung]]/Tabelle1[[#This Row],[Fläche]]</f>
        <v>3043.0664436428124</v>
      </c>
      <c r="H31" s="2">
        <v>47448.644374146468</v>
      </c>
      <c r="I31" s="2">
        <v>14500</v>
      </c>
      <c r="J31" s="4">
        <v>336494.09891960101</v>
      </c>
      <c r="K31" s="28">
        <v>9.8000000000000007</v>
      </c>
      <c r="L31" s="5">
        <v>45</v>
      </c>
      <c r="M31" s="7">
        <f t="shared" si="0"/>
        <v>929.15600000000006</v>
      </c>
    </row>
    <row r="32" spans="2:13" x14ac:dyDescent="0.25">
      <c r="B32" s="8" t="s">
        <v>57</v>
      </c>
      <c r="C32" t="s">
        <v>0</v>
      </c>
      <c r="D32" s="3">
        <v>37.32</v>
      </c>
      <c r="E32" t="s">
        <v>170</v>
      </c>
      <c r="F32" s="1">
        <v>101600</v>
      </c>
      <c r="G32" s="1">
        <f>Tabelle1[[#This Row],[Kaufpreis Wohnung]]/Tabelle1[[#This Row],[Fläche]]</f>
        <v>2722.400857449089</v>
      </c>
      <c r="H32" s="2">
        <v>19627.393128387786</v>
      </c>
      <c r="I32" s="2">
        <v>14500</v>
      </c>
      <c r="J32" s="4">
        <v>135727.3931283878</v>
      </c>
      <c r="K32" s="28">
        <v>8.6</v>
      </c>
      <c r="L32" s="5">
        <v>45</v>
      </c>
      <c r="M32" s="7">
        <f t="shared" si="0"/>
        <v>365.952</v>
      </c>
    </row>
    <row r="33" spans="2:13" x14ac:dyDescent="0.25">
      <c r="B33" s="8" t="s">
        <v>71</v>
      </c>
      <c r="C33" t="s">
        <v>14</v>
      </c>
      <c r="D33" s="3">
        <v>79.599999999999994</v>
      </c>
      <c r="E33" t="s">
        <v>176</v>
      </c>
      <c r="F33" s="1">
        <v>169791.72413793101</v>
      </c>
      <c r="G33" s="1">
        <f>Tabelle1[[#This Row],[Kaufpreis Wohnung]]/Tabelle1[[#This Row],[Fläche]]</f>
        <v>2133.061861029284</v>
      </c>
      <c r="H33" s="2">
        <v>41863.357262048972</v>
      </c>
      <c r="I33" s="2">
        <v>14500</v>
      </c>
      <c r="J33" s="4">
        <v>226155.08139998</v>
      </c>
      <c r="K33" s="28">
        <v>7.1</v>
      </c>
      <c r="L33" s="5">
        <v>45</v>
      </c>
      <c r="M33" s="7">
        <f t="shared" si="0"/>
        <v>610.16</v>
      </c>
    </row>
    <row r="34" spans="2:13" x14ac:dyDescent="0.25">
      <c r="B34" s="8" t="s">
        <v>85</v>
      </c>
      <c r="C34" t="s">
        <v>28</v>
      </c>
      <c r="D34" s="3">
        <v>90.05</v>
      </c>
      <c r="E34" t="s">
        <v>176</v>
      </c>
      <c r="F34" s="1">
        <v>190982.06896551725</v>
      </c>
      <c r="G34" s="1">
        <f>Tabelle1[[#This Row],[Kaufpreis Wohnung]]/Tabelle1[[#This Row],[Fläche]]</f>
        <v>2120.8447414271768</v>
      </c>
      <c r="H34" s="2">
        <v>47359.237706627013</v>
      </c>
      <c r="I34" s="2">
        <v>14500</v>
      </c>
      <c r="J34" s="4">
        <v>252841.30667214427</v>
      </c>
      <c r="K34" s="28">
        <v>7.1</v>
      </c>
      <c r="L34" s="5">
        <v>45</v>
      </c>
      <c r="M34" s="7">
        <f t="shared" si="0"/>
        <v>684.3549999999999</v>
      </c>
    </row>
    <row r="35" spans="2:13" x14ac:dyDescent="0.25">
      <c r="B35" s="8" t="s">
        <v>66</v>
      </c>
      <c r="C35" t="s">
        <v>9</v>
      </c>
      <c r="D35" s="3">
        <v>37.32</v>
      </c>
      <c r="E35" t="s">
        <v>45</v>
      </c>
      <c r="F35" s="1">
        <v>144899.99999999997</v>
      </c>
      <c r="G35" s="1">
        <f>Tabelle1[[#This Row],[Kaufpreis Wohnung]]/Tabelle1[[#This Row],[Fläche]]</f>
        <v>3882.6366559485523</v>
      </c>
      <c r="H35" s="2">
        <v>19627.393128387786</v>
      </c>
      <c r="I35" s="2">
        <v>14500</v>
      </c>
      <c r="J35" s="4">
        <v>179027.39312838775</v>
      </c>
      <c r="K35" s="28">
        <v>12</v>
      </c>
      <c r="L35" s="5">
        <v>45</v>
      </c>
      <c r="M35" s="7">
        <f t="shared" si="0"/>
        <v>492.84000000000003</v>
      </c>
    </row>
    <row r="36" spans="2:13" x14ac:dyDescent="0.25">
      <c r="B36" s="8" t="s">
        <v>76</v>
      </c>
      <c r="C36" t="s">
        <v>19</v>
      </c>
      <c r="D36" s="3">
        <v>80.239999999999995</v>
      </c>
      <c r="E36" t="s">
        <v>176</v>
      </c>
      <c r="F36" s="1">
        <v>170396.25</v>
      </c>
      <c r="G36" s="1">
        <f>Tabelle1[[#This Row],[Kaufpreis Wohnung]]/Tabelle1[[#This Row],[Fläche]]</f>
        <v>2123.5823778664007</v>
      </c>
      <c r="H36" s="2">
        <v>42199.947069181027</v>
      </c>
      <c r="I36" s="2">
        <v>14500</v>
      </c>
      <c r="J36" s="4">
        <v>227096.19706918101</v>
      </c>
      <c r="K36" s="28">
        <v>7.1</v>
      </c>
      <c r="L36" s="5">
        <v>45</v>
      </c>
      <c r="M36" s="7">
        <f t="shared" si="0"/>
        <v>614.70399999999995</v>
      </c>
    </row>
    <row r="37" spans="2:13" x14ac:dyDescent="0.25">
      <c r="B37" s="8" t="s">
        <v>100</v>
      </c>
      <c r="C37" t="s">
        <v>43</v>
      </c>
      <c r="D37" s="3">
        <v>110.42</v>
      </c>
      <c r="E37" t="s">
        <v>176</v>
      </c>
      <c r="F37" s="1">
        <v>232209.52380952379</v>
      </c>
      <c r="G37" s="1">
        <f>Tabelle1[[#This Row],[Kaufpreis Wohnung]]/Tabelle1[[#This Row],[Fläche]]</f>
        <v>2102.9661638247039</v>
      </c>
      <c r="H37" s="2">
        <v>58072.260161751859</v>
      </c>
      <c r="I37" s="2">
        <v>14500</v>
      </c>
      <c r="J37" s="4">
        <v>304781.78397127567</v>
      </c>
      <c r="K37" s="28">
        <v>7.1</v>
      </c>
      <c r="L37" s="5">
        <v>45</v>
      </c>
      <c r="M37" s="7">
        <f t="shared" si="0"/>
        <v>828.98199999999997</v>
      </c>
    </row>
    <row r="38" spans="2:13" x14ac:dyDescent="0.25">
      <c r="B38" s="8" t="s">
        <v>98</v>
      </c>
      <c r="C38" t="s">
        <v>41</v>
      </c>
      <c r="D38" s="3">
        <v>96.9</v>
      </c>
      <c r="E38" t="s">
        <v>177</v>
      </c>
      <c r="F38" s="1">
        <v>297960</v>
      </c>
      <c r="G38" s="1">
        <f>Tabelle1[[#This Row],[Kaufpreis Wohnung]]/Tabelle1[[#This Row],[Fläche]]</f>
        <v>3074.9226006191948</v>
      </c>
      <c r="H38" s="2">
        <v>50961.800486087261</v>
      </c>
      <c r="I38" s="2">
        <v>14500</v>
      </c>
      <c r="J38" s="4">
        <v>363421.80048608728</v>
      </c>
      <c r="K38" s="28">
        <v>9.8000000000000007</v>
      </c>
      <c r="L38" s="5">
        <v>45</v>
      </c>
      <c r="M38" s="7">
        <f t="shared" si="0"/>
        <v>994.62000000000012</v>
      </c>
    </row>
    <row r="39" spans="2:13" x14ac:dyDescent="0.25">
      <c r="B39" s="8" t="s">
        <v>88</v>
      </c>
      <c r="C39" t="s">
        <v>31</v>
      </c>
      <c r="D39" s="3">
        <v>90.05</v>
      </c>
      <c r="E39" t="s">
        <v>177</v>
      </c>
      <c r="F39" s="1">
        <v>274576.27118644072</v>
      </c>
      <c r="G39" s="1">
        <f>Tabelle1[[#This Row],[Kaufpreis Wohnung]]/Tabelle1[[#This Row],[Fläche]]</f>
        <v>3049.1534834696358</v>
      </c>
      <c r="H39" s="2">
        <v>47359.237706627013</v>
      </c>
      <c r="I39" s="2">
        <v>14500</v>
      </c>
      <c r="J39" s="4">
        <v>336435.50889306772</v>
      </c>
      <c r="K39" s="28">
        <v>9.8000000000000007</v>
      </c>
      <c r="L39" s="5">
        <v>45</v>
      </c>
      <c r="M39" s="7">
        <f t="shared" si="0"/>
        <v>927.49</v>
      </c>
    </row>
    <row r="40" spans="2:13" x14ac:dyDescent="0.25">
      <c r="B40" s="8" t="s">
        <v>64</v>
      </c>
      <c r="C40" t="s">
        <v>7</v>
      </c>
      <c r="D40" s="3">
        <v>37.32</v>
      </c>
      <c r="E40" t="s">
        <v>45</v>
      </c>
      <c r="F40" s="1">
        <v>144380.95238095237</v>
      </c>
      <c r="G40" s="1">
        <f>Tabelle1[[#This Row],[Kaufpreis Wohnung]]/Tabelle1[[#This Row],[Fläche]]</f>
        <v>3868.7286275710708</v>
      </c>
      <c r="H40" s="2">
        <v>19627.393128387786</v>
      </c>
      <c r="I40" s="2">
        <v>14500</v>
      </c>
      <c r="J40" s="4">
        <v>178508.34550934014</v>
      </c>
      <c r="K40" s="28">
        <v>12</v>
      </c>
      <c r="L40" s="5">
        <v>45</v>
      </c>
      <c r="M40" s="7">
        <f t="shared" si="0"/>
        <v>492.84000000000003</v>
      </c>
    </row>
    <row r="41" spans="2:13" x14ac:dyDescent="0.25">
      <c r="B41" s="8" t="s">
        <v>82</v>
      </c>
      <c r="C41" t="s">
        <v>25</v>
      </c>
      <c r="D41" s="3">
        <v>80.239999999999995</v>
      </c>
      <c r="E41" t="s">
        <v>177</v>
      </c>
      <c r="F41" s="1">
        <v>244812.97297297299</v>
      </c>
      <c r="G41" s="1">
        <f>Tabelle1[[#This Row],[Kaufpreis Wohnung]]/Tabelle1[[#This Row],[Fläche]]</f>
        <v>3051.0091347578887</v>
      </c>
      <c r="H41" s="2">
        <v>42199.947069181027</v>
      </c>
      <c r="I41" s="2">
        <v>14500</v>
      </c>
      <c r="J41" s="4">
        <v>301512.92004215403</v>
      </c>
      <c r="K41" s="28">
        <v>9.8000000000000007</v>
      </c>
      <c r="L41" s="5">
        <v>45</v>
      </c>
      <c r="M41" s="7">
        <f t="shared" si="0"/>
        <v>831.35199999999998</v>
      </c>
    </row>
    <row r="42" spans="2:13" x14ac:dyDescent="0.25">
      <c r="B42" s="8" t="s">
        <v>99</v>
      </c>
      <c r="C42" t="s">
        <v>42</v>
      </c>
      <c r="D42" s="3">
        <v>110.42</v>
      </c>
      <c r="E42" t="s">
        <v>176</v>
      </c>
      <c r="F42" s="1">
        <v>237177.93103448275</v>
      </c>
      <c r="G42" s="1">
        <f>Tabelle1[[#This Row],[Kaufpreis Wohnung]]/Tabelle1[[#This Row],[Fläche]]</f>
        <v>2147.9617010911315</v>
      </c>
      <c r="H42" s="2">
        <v>58072.260161751859</v>
      </c>
      <c r="I42" s="2">
        <v>14500</v>
      </c>
      <c r="J42" s="4">
        <v>309750.19119623461</v>
      </c>
      <c r="K42" s="28">
        <v>7.1</v>
      </c>
      <c r="L42" s="5">
        <v>45</v>
      </c>
      <c r="M42" s="7">
        <f t="shared" si="0"/>
        <v>828.98199999999997</v>
      </c>
    </row>
    <row r="43" spans="2:13" x14ac:dyDescent="0.25">
      <c r="B43" s="8" t="s">
        <v>97</v>
      </c>
      <c r="C43" t="s">
        <v>40</v>
      </c>
      <c r="D43" s="3">
        <v>96.9</v>
      </c>
      <c r="E43" t="s">
        <v>177</v>
      </c>
      <c r="F43" s="1">
        <v>294644</v>
      </c>
      <c r="G43" s="1">
        <f>Tabelle1[[#This Row],[Kaufpreis Wohnung]]/Tabelle1[[#This Row],[Fläche]]</f>
        <v>3040.7017543859647</v>
      </c>
      <c r="H43" s="2">
        <v>50961.800486087261</v>
      </c>
      <c r="I43" s="2">
        <v>14500</v>
      </c>
      <c r="J43" s="4">
        <v>360105.80048608728</v>
      </c>
      <c r="K43" s="28">
        <v>9.8000000000000007</v>
      </c>
      <c r="L43" s="5">
        <v>45</v>
      </c>
      <c r="M43" s="7">
        <f t="shared" si="0"/>
        <v>994.62000000000012</v>
      </c>
    </row>
    <row r="44" spans="2:13" x14ac:dyDescent="0.25">
      <c r="B44" s="8" t="s">
        <v>89</v>
      </c>
      <c r="C44" t="s">
        <v>32</v>
      </c>
      <c r="D44" s="3">
        <v>90.05</v>
      </c>
      <c r="E44" t="s">
        <v>177</v>
      </c>
      <c r="F44" s="1">
        <v>275675.67567567568</v>
      </c>
      <c r="G44" s="1">
        <f>Tabelle1[[#This Row],[Kaufpreis Wohnung]]/Tabelle1[[#This Row],[Fläche]]</f>
        <v>3061.3623062262709</v>
      </c>
      <c r="H44" s="2">
        <v>47359.237706627013</v>
      </c>
      <c r="I44" s="2">
        <v>14500</v>
      </c>
      <c r="J44" s="4">
        <v>337534.91338230268</v>
      </c>
      <c r="K44" s="28">
        <v>9.8000000000000007</v>
      </c>
      <c r="L44" s="5">
        <v>45</v>
      </c>
      <c r="M44" s="7">
        <f t="shared" si="0"/>
        <v>927.49</v>
      </c>
    </row>
    <row r="45" spans="2:13" x14ac:dyDescent="0.25">
      <c r="B45" s="8" t="s">
        <v>60</v>
      </c>
      <c r="C45" t="s">
        <v>3</v>
      </c>
      <c r="D45" s="3">
        <v>37.32</v>
      </c>
      <c r="E45" t="s">
        <v>170</v>
      </c>
      <c r="F45" s="1">
        <v>100141.62162162163</v>
      </c>
      <c r="G45" s="1">
        <f>Tabelle1[[#This Row],[Kaufpreis Wohnung]]/Tabelle1[[#This Row],[Fläche]]</f>
        <v>2683.3231945772141</v>
      </c>
      <c r="H45" s="2">
        <v>19627.393128387786</v>
      </c>
      <c r="I45" s="2">
        <v>14500</v>
      </c>
      <c r="J45" s="4">
        <v>134269.0147500094</v>
      </c>
      <c r="K45" s="28">
        <v>8.6</v>
      </c>
      <c r="L45" s="5">
        <v>45</v>
      </c>
      <c r="M45" s="7">
        <f t="shared" si="0"/>
        <v>365.952</v>
      </c>
    </row>
    <row r="46" spans="2:13" x14ac:dyDescent="0.25">
      <c r="B46" s="8" t="s">
        <v>77</v>
      </c>
      <c r="C46" t="s">
        <v>20</v>
      </c>
      <c r="D46" s="3">
        <v>80.239999999999995</v>
      </c>
      <c r="E46" t="s">
        <v>176</v>
      </c>
      <c r="F46" s="1">
        <v>169263.5294117647</v>
      </c>
      <c r="G46" s="1">
        <f>Tabelle1[[#This Row],[Kaufpreis Wohnung]]/Tabelle1[[#This Row],[Fläche]]</f>
        <v>2109.4657204856021</v>
      </c>
      <c r="H46" s="2">
        <v>42199.947069181027</v>
      </c>
      <c r="I46" s="2">
        <v>14500</v>
      </c>
      <c r="J46" s="4">
        <v>225963.47648094571</v>
      </c>
      <c r="K46" s="28">
        <v>7.1</v>
      </c>
      <c r="L46" s="5">
        <v>45</v>
      </c>
      <c r="M46" s="7">
        <f t="shared" si="0"/>
        <v>614.70399999999995</v>
      </c>
    </row>
    <row r="47" spans="2:13" x14ac:dyDescent="0.25">
      <c r="B47" s="8" t="s">
        <v>101</v>
      </c>
      <c r="C47" t="s">
        <v>44</v>
      </c>
      <c r="D47" s="3">
        <v>110.42</v>
      </c>
      <c r="E47" t="s">
        <v>177</v>
      </c>
      <c r="F47" s="1">
        <v>339091.76470588229</v>
      </c>
      <c r="G47" s="1">
        <f>Tabelle1[[#This Row],[Kaufpreis Wohnung]]/Tabelle1[[#This Row],[Fläche]]</f>
        <v>3070.9270485952029</v>
      </c>
      <c r="H47" s="2">
        <v>58072.260161751859</v>
      </c>
      <c r="I47" s="2">
        <v>14500</v>
      </c>
      <c r="J47" s="4">
        <v>411664.02486763417</v>
      </c>
      <c r="K47" s="28">
        <v>9.8000000000000007</v>
      </c>
      <c r="L47" s="5">
        <v>45</v>
      </c>
      <c r="M47" s="7">
        <f t="shared" si="0"/>
        <v>1127.116</v>
      </c>
    </row>
    <row r="48" spans="2:13" x14ac:dyDescent="0.25">
      <c r="B48" s="8" t="s">
        <v>96</v>
      </c>
      <c r="C48" t="s">
        <v>39</v>
      </c>
      <c r="D48" s="3">
        <v>96.9</v>
      </c>
      <c r="E48" t="s">
        <v>176</v>
      </c>
      <c r="F48" s="1">
        <v>208000</v>
      </c>
      <c r="G48" s="1">
        <f>Tabelle1[[#This Row],[Kaufpreis Wohnung]]/Tabelle1[[#This Row],[Fläche]]</f>
        <v>2146.5428276573784</v>
      </c>
      <c r="H48" s="2">
        <v>50961.800486087261</v>
      </c>
      <c r="I48" s="2">
        <v>14500</v>
      </c>
      <c r="J48" s="4">
        <v>273461.80048608728</v>
      </c>
      <c r="K48" s="28">
        <v>7.1</v>
      </c>
      <c r="L48" s="5">
        <v>45</v>
      </c>
      <c r="M48" s="7">
        <f t="shared" si="0"/>
        <v>732.99</v>
      </c>
    </row>
    <row r="49" spans="2:13" x14ac:dyDescent="0.25">
      <c r="B49" s="8" t="s">
        <v>90</v>
      </c>
      <c r="C49" t="s">
        <v>33</v>
      </c>
      <c r="D49" s="3">
        <v>90.05</v>
      </c>
      <c r="E49" t="s">
        <v>177</v>
      </c>
      <c r="F49" s="1">
        <v>271875</v>
      </c>
      <c r="G49" s="1">
        <f>Tabelle1[[#This Row],[Kaufpreis Wohnung]]/Tabelle1[[#This Row],[Fläche]]</f>
        <v>3019.1560244308716</v>
      </c>
      <c r="H49" s="2">
        <v>47359.237706627013</v>
      </c>
      <c r="I49" s="2">
        <v>14500</v>
      </c>
      <c r="J49" s="4">
        <v>333734.237706627</v>
      </c>
      <c r="K49" s="28">
        <v>9.8000000000000007</v>
      </c>
      <c r="L49" s="5">
        <v>45</v>
      </c>
      <c r="M49" s="7">
        <f t="shared" si="0"/>
        <v>927.49</v>
      </c>
    </row>
    <row r="50" spans="2:13" x14ac:dyDescent="0.25">
      <c r="B50" s="8" t="s">
        <v>63</v>
      </c>
      <c r="C50" t="s">
        <v>6</v>
      </c>
      <c r="D50" s="3">
        <v>37.32</v>
      </c>
      <c r="E50" t="s">
        <v>45</v>
      </c>
      <c r="F50" s="1">
        <v>142857.14285714287</v>
      </c>
      <c r="G50" s="1">
        <f>Tabelle1[[#This Row],[Kaufpreis Wohnung]]/Tabelle1[[#This Row],[Fläche]]</f>
        <v>3827.89771857296</v>
      </c>
      <c r="H50" s="2">
        <v>19627.393128387786</v>
      </c>
      <c r="I50" s="2">
        <v>14500</v>
      </c>
      <c r="J50" s="4">
        <v>176984.53598553065</v>
      </c>
      <c r="K50" s="28">
        <v>12</v>
      </c>
      <c r="L50" s="5">
        <v>45</v>
      </c>
      <c r="M50" s="7">
        <f t="shared" si="0"/>
        <v>492.84000000000003</v>
      </c>
    </row>
    <row r="51" spans="2:13" x14ac:dyDescent="0.25">
      <c r="B51" s="8" t="s">
        <v>80</v>
      </c>
      <c r="C51" t="s">
        <v>23</v>
      </c>
      <c r="D51" s="3">
        <v>80.239999999999995</v>
      </c>
      <c r="E51" t="s">
        <v>177</v>
      </c>
      <c r="F51" s="1">
        <v>245070.42253521128</v>
      </c>
      <c r="G51" s="1">
        <f>Tabelle1[[#This Row],[Kaufpreis Wohnung]]/Tabelle1[[#This Row],[Fläche]]</f>
        <v>3054.2176288037299</v>
      </c>
      <c r="H51" s="2">
        <v>42199.947069181027</v>
      </c>
      <c r="I51" s="2">
        <v>14500</v>
      </c>
      <c r="J51" s="4">
        <v>301770.36960439233</v>
      </c>
      <c r="K51" s="28">
        <v>9.8000000000000007</v>
      </c>
      <c r="L51" s="5">
        <v>45</v>
      </c>
      <c r="M51" s="7">
        <f t="shared" si="0"/>
        <v>831.35199999999998</v>
      </c>
    </row>
  </sheetData>
  <sheetProtection algorithmName="SHA-512" hashValue="7RMY8rkC6S0+oPlvstjVVN9uTOHeO+zkua9QmjSzUtitPhn8qOVyNkuj+5I6YIScKpHIh6U9Wtq1UDEn8Qp/BQ==" saltValue="wOMofkWlgiZaauHv8EuJEA==" spinCount="100000" sheet="1" objects="1" scenarios="1"/>
  <pageMargins left="0.7" right="0.7" top="0.78740157499999996" bottom="0.78740157499999996" header="0.3" footer="0.3"/>
  <pageSetup paperSize="9" scale="51" orientation="landscape" r:id="rId1"/>
  <ignoredErrors>
    <ignoredError sqref="B52" twoDigitTextYear="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B28D9-59C6-4779-B2CF-906097A6A7EC}">
  <dimension ref="B3:K40"/>
  <sheetViews>
    <sheetView workbookViewId="0">
      <selection activeCell="K4" sqref="K4:K9"/>
    </sheetView>
  </sheetViews>
  <sheetFormatPr baseColWidth="10" defaultRowHeight="15" x14ac:dyDescent="0.25"/>
  <cols>
    <col min="2" max="2" width="27" bestFit="1" customWidth="1"/>
    <col min="3" max="3" width="14.5703125" bestFit="1" customWidth="1"/>
    <col min="5" max="5" width="13" bestFit="1" customWidth="1"/>
    <col min="7" max="7" width="14.5703125" bestFit="1" customWidth="1"/>
    <col min="11" max="11" width="37.5703125" customWidth="1"/>
  </cols>
  <sheetData>
    <row r="3" spans="2:11" ht="19.5" thickBot="1" x14ac:dyDescent="0.35">
      <c r="B3" s="10" t="s">
        <v>133</v>
      </c>
      <c r="C3" s="11"/>
      <c r="D3" s="11"/>
      <c r="E3" s="11"/>
      <c r="F3" s="11"/>
      <c r="G3" s="11"/>
      <c r="H3" s="11"/>
    </row>
    <row r="4" spans="2:11" x14ac:dyDescent="0.25">
      <c r="B4" s="12"/>
      <c r="C4" s="31" t="s">
        <v>134</v>
      </c>
      <c r="D4" s="32"/>
      <c r="E4" s="31" t="s">
        <v>135</v>
      </c>
      <c r="F4" s="32"/>
      <c r="G4" s="31" t="s">
        <v>136</v>
      </c>
      <c r="H4" s="32"/>
      <c r="K4" t="s">
        <v>141</v>
      </c>
    </row>
    <row r="5" spans="2:11" ht="15.75" thickBot="1" x14ac:dyDescent="0.3">
      <c r="B5" s="11" t="s">
        <v>125</v>
      </c>
      <c r="C5" s="13" t="s">
        <v>137</v>
      </c>
      <c r="D5" s="14" t="s">
        <v>138</v>
      </c>
      <c r="E5" s="15" t="s">
        <v>137</v>
      </c>
      <c r="F5" s="14" t="s">
        <v>138</v>
      </c>
      <c r="G5" s="15" t="s">
        <v>137</v>
      </c>
      <c r="H5" s="14" t="s">
        <v>138</v>
      </c>
      <c r="K5" t="s">
        <v>142</v>
      </c>
    </row>
    <row r="6" spans="2:11" x14ac:dyDescent="0.25">
      <c r="B6" s="16">
        <v>10000</v>
      </c>
      <c r="C6" s="17">
        <f>IF(B6&lt;=11604,0,IF(B6&lt;=17005,INT((922.98*(B6-11605)/10000+1400)*(B6-11605)/10000),IF(B6&lt;=66760,INT((181.19*(B6-17005)/10000+2397)*(B6-17005)/10000+1025.38),IF(B6&lt;=277825,INT(B6*0.42-10602.13),INT(B6*0.45-18936.88)))))</f>
        <v>0</v>
      </c>
      <c r="D6" s="18">
        <f>C6/B6</f>
        <v>0</v>
      </c>
      <c r="E6" s="17">
        <f t="shared" ref="E6:E23" si="0">IF(C6&lt;=18130,0,MIN((C6-18130)*11.9%,C6*5.5%))</f>
        <v>0</v>
      </c>
      <c r="F6" s="18">
        <f>E6/B6</f>
        <v>0</v>
      </c>
      <c r="G6" s="17">
        <f>E6+C6</f>
        <v>0</v>
      </c>
      <c r="H6" s="18">
        <f t="shared" ref="H6:H40" si="1">G6/B6</f>
        <v>0</v>
      </c>
    </row>
    <row r="7" spans="2:11" x14ac:dyDescent="0.25">
      <c r="B7" s="19">
        <f t="shared" ref="B7:B15" si="2">B6+1000</f>
        <v>11000</v>
      </c>
      <c r="C7" s="20">
        <f t="shared" ref="C7:C40" si="3">IF(B7&lt;=11604,0,IF(B7&lt;=17005,INT((922.98*(B7-11605)/10000+1400)*(B7-11605)/10000),IF(B7&lt;=66760,INT((181.19*(B7-17005)/10000+2397)*(B7-17005)/10000+1025.38),IF(B7&lt;=277825,INT(B7*0.42-10602.13),INT(B7*0.45-18936.88)))))</f>
        <v>0</v>
      </c>
      <c r="D7" s="21">
        <f>C7/B7</f>
        <v>0</v>
      </c>
      <c r="E7" s="22">
        <f t="shared" si="0"/>
        <v>0</v>
      </c>
      <c r="F7" s="23">
        <f t="shared" ref="F7:F40" si="4">E7/B7</f>
        <v>0</v>
      </c>
      <c r="G7" s="22">
        <f t="shared" ref="G7:G11" si="5">E7+C7</f>
        <v>0</v>
      </c>
      <c r="H7" s="23">
        <f t="shared" si="1"/>
        <v>0</v>
      </c>
      <c r="K7" t="s">
        <v>156</v>
      </c>
    </row>
    <row r="8" spans="2:11" x14ac:dyDescent="0.25">
      <c r="B8" s="19">
        <f t="shared" si="2"/>
        <v>12000</v>
      </c>
      <c r="C8" s="20">
        <f t="shared" si="3"/>
        <v>56</v>
      </c>
      <c r="D8" s="21">
        <f>C8/B8</f>
        <v>4.6666666666666671E-3</v>
      </c>
      <c r="E8" s="22">
        <f t="shared" si="0"/>
        <v>0</v>
      </c>
      <c r="F8" s="23">
        <f t="shared" si="4"/>
        <v>0</v>
      </c>
      <c r="G8" s="22">
        <f t="shared" si="5"/>
        <v>56</v>
      </c>
      <c r="H8" s="23">
        <f t="shared" si="1"/>
        <v>4.6666666666666671E-3</v>
      </c>
      <c r="K8" s="25" t="s">
        <v>158</v>
      </c>
    </row>
    <row r="9" spans="2:11" x14ac:dyDescent="0.25">
      <c r="B9" s="19">
        <f t="shared" si="2"/>
        <v>13000</v>
      </c>
      <c r="C9" s="20">
        <f t="shared" si="3"/>
        <v>213</v>
      </c>
      <c r="D9" s="21">
        <f>C9/B9</f>
        <v>1.6384615384615383E-2</v>
      </c>
      <c r="E9" s="22">
        <f t="shared" si="0"/>
        <v>0</v>
      </c>
      <c r="F9" s="23">
        <f t="shared" si="4"/>
        <v>0</v>
      </c>
      <c r="G9" s="22">
        <f t="shared" si="5"/>
        <v>213</v>
      </c>
      <c r="H9" s="23">
        <f t="shared" si="1"/>
        <v>1.6384615384615383E-2</v>
      </c>
      <c r="K9" s="25" t="s">
        <v>159</v>
      </c>
    </row>
    <row r="10" spans="2:11" x14ac:dyDescent="0.25">
      <c r="B10" s="19">
        <f t="shared" si="2"/>
        <v>14000</v>
      </c>
      <c r="C10" s="20">
        <f t="shared" si="3"/>
        <v>388</v>
      </c>
      <c r="D10" s="21">
        <f>C10/B10</f>
        <v>2.7714285714285716E-2</v>
      </c>
      <c r="E10" s="22">
        <f t="shared" si="0"/>
        <v>0</v>
      </c>
      <c r="F10" s="23">
        <f t="shared" si="4"/>
        <v>0</v>
      </c>
      <c r="G10" s="22">
        <f t="shared" si="5"/>
        <v>388</v>
      </c>
      <c r="H10" s="23">
        <f t="shared" si="1"/>
        <v>2.7714285714285716E-2</v>
      </c>
    </row>
    <row r="11" spans="2:11" x14ac:dyDescent="0.25">
      <c r="B11" s="19">
        <f t="shared" si="2"/>
        <v>15000</v>
      </c>
      <c r="C11" s="22">
        <f t="shared" si="3"/>
        <v>581</v>
      </c>
      <c r="D11" s="23">
        <f t="shared" ref="D11:D40" si="6">C11/B11</f>
        <v>3.8733333333333335E-2</v>
      </c>
      <c r="E11" s="22">
        <f t="shared" si="0"/>
        <v>0</v>
      </c>
      <c r="F11" s="23">
        <f t="shared" si="4"/>
        <v>0</v>
      </c>
      <c r="G11" s="22">
        <f t="shared" si="5"/>
        <v>581</v>
      </c>
      <c r="H11" s="23">
        <f t="shared" si="1"/>
        <v>3.8733333333333335E-2</v>
      </c>
    </row>
    <row r="12" spans="2:11" x14ac:dyDescent="0.25">
      <c r="B12" s="19">
        <f t="shared" si="2"/>
        <v>16000</v>
      </c>
      <c r="C12" s="22">
        <f t="shared" si="3"/>
        <v>793</v>
      </c>
      <c r="D12" s="23">
        <f t="shared" si="6"/>
        <v>4.9562500000000002E-2</v>
      </c>
      <c r="E12" s="22">
        <f t="shared" si="0"/>
        <v>0</v>
      </c>
      <c r="F12" s="23">
        <f t="shared" si="4"/>
        <v>0</v>
      </c>
      <c r="G12" s="22">
        <f>E12+C12</f>
        <v>793</v>
      </c>
      <c r="H12" s="23">
        <f t="shared" si="1"/>
        <v>4.9562500000000002E-2</v>
      </c>
    </row>
    <row r="13" spans="2:11" x14ac:dyDescent="0.25">
      <c r="B13" s="19">
        <f t="shared" si="2"/>
        <v>17000</v>
      </c>
      <c r="C13" s="22">
        <f t="shared" si="3"/>
        <v>1023</v>
      </c>
      <c r="D13" s="23">
        <f t="shared" si="6"/>
        <v>6.0176470588235297E-2</v>
      </c>
      <c r="E13" s="22">
        <f t="shared" si="0"/>
        <v>0</v>
      </c>
      <c r="F13" s="23">
        <f t="shared" si="4"/>
        <v>0</v>
      </c>
      <c r="G13" s="22">
        <f>E13+C13</f>
        <v>1023</v>
      </c>
      <c r="H13" s="23">
        <f t="shared" si="1"/>
        <v>6.0176470588235297E-2</v>
      </c>
    </row>
    <row r="14" spans="2:11" x14ac:dyDescent="0.25">
      <c r="B14" s="19">
        <f t="shared" si="2"/>
        <v>18000</v>
      </c>
      <c r="C14" s="22">
        <f t="shared" si="3"/>
        <v>1265</v>
      </c>
      <c r="D14" s="23">
        <f t="shared" si="6"/>
        <v>7.0277777777777772E-2</v>
      </c>
      <c r="E14" s="22">
        <f t="shared" si="0"/>
        <v>0</v>
      </c>
      <c r="F14" s="23">
        <f t="shared" si="4"/>
        <v>0</v>
      </c>
      <c r="G14" s="22">
        <f t="shared" ref="G14:G40" si="7">E14+C14</f>
        <v>1265</v>
      </c>
      <c r="H14" s="23">
        <f t="shared" si="1"/>
        <v>7.0277777777777772E-2</v>
      </c>
    </row>
    <row r="15" spans="2:11" x14ac:dyDescent="0.25">
      <c r="B15" s="19">
        <f t="shared" si="2"/>
        <v>19000</v>
      </c>
      <c r="C15" s="22">
        <f t="shared" si="3"/>
        <v>1510</v>
      </c>
      <c r="D15" s="23">
        <f t="shared" si="6"/>
        <v>7.9473684210526321E-2</v>
      </c>
      <c r="E15" s="22">
        <f t="shared" si="0"/>
        <v>0</v>
      </c>
      <c r="F15" s="23">
        <f t="shared" si="4"/>
        <v>0</v>
      </c>
      <c r="G15" s="22">
        <f t="shared" si="7"/>
        <v>1510</v>
      </c>
      <c r="H15" s="23">
        <f t="shared" si="1"/>
        <v>7.9473684210526321E-2</v>
      </c>
    </row>
    <row r="16" spans="2:11" x14ac:dyDescent="0.25">
      <c r="B16" s="24">
        <f>B14+2000</f>
        <v>20000</v>
      </c>
      <c r="C16" s="22">
        <f t="shared" si="3"/>
        <v>1759</v>
      </c>
      <c r="D16" s="23">
        <f t="shared" si="6"/>
        <v>8.795E-2</v>
      </c>
      <c r="E16" s="22">
        <f t="shared" si="0"/>
        <v>0</v>
      </c>
      <c r="F16" s="23">
        <f t="shared" si="4"/>
        <v>0</v>
      </c>
      <c r="G16" s="22">
        <f t="shared" si="7"/>
        <v>1759</v>
      </c>
      <c r="H16" s="23">
        <f t="shared" si="1"/>
        <v>8.795E-2</v>
      </c>
    </row>
    <row r="17" spans="2:8" x14ac:dyDescent="0.25">
      <c r="B17" s="24">
        <f t="shared" ref="B17:B22" si="8">B16+5000</f>
        <v>25000</v>
      </c>
      <c r="C17" s="22">
        <f t="shared" si="3"/>
        <v>3057</v>
      </c>
      <c r="D17" s="23">
        <f t="shared" si="6"/>
        <v>0.12228</v>
      </c>
      <c r="E17" s="22">
        <f t="shared" si="0"/>
        <v>0</v>
      </c>
      <c r="F17" s="23">
        <f t="shared" si="4"/>
        <v>0</v>
      </c>
      <c r="G17" s="22">
        <f t="shared" si="7"/>
        <v>3057</v>
      </c>
      <c r="H17" s="23">
        <f t="shared" si="1"/>
        <v>0.12228</v>
      </c>
    </row>
    <row r="18" spans="2:8" x14ac:dyDescent="0.25">
      <c r="B18" s="24">
        <f t="shared" si="8"/>
        <v>30000</v>
      </c>
      <c r="C18" s="22">
        <f t="shared" si="3"/>
        <v>4446</v>
      </c>
      <c r="D18" s="23">
        <f t="shared" si="6"/>
        <v>0.1482</v>
      </c>
      <c r="E18" s="22">
        <f t="shared" si="0"/>
        <v>0</v>
      </c>
      <c r="F18" s="23">
        <f t="shared" si="4"/>
        <v>0</v>
      </c>
      <c r="G18" s="22">
        <f t="shared" si="7"/>
        <v>4446</v>
      </c>
      <c r="H18" s="23">
        <f t="shared" si="1"/>
        <v>0.1482</v>
      </c>
    </row>
    <row r="19" spans="2:8" x14ac:dyDescent="0.25">
      <c r="B19" s="24">
        <f t="shared" si="8"/>
        <v>35000</v>
      </c>
      <c r="C19" s="22">
        <f t="shared" si="3"/>
        <v>5925</v>
      </c>
      <c r="D19" s="23">
        <f t="shared" si="6"/>
        <v>0.16928571428571429</v>
      </c>
      <c r="E19" s="22">
        <f t="shared" si="0"/>
        <v>0</v>
      </c>
      <c r="F19" s="23">
        <f t="shared" si="4"/>
        <v>0</v>
      </c>
      <c r="G19" s="22">
        <f t="shared" si="7"/>
        <v>5925</v>
      </c>
      <c r="H19" s="23">
        <f t="shared" si="1"/>
        <v>0.16928571428571429</v>
      </c>
    </row>
    <row r="20" spans="2:8" x14ac:dyDescent="0.25">
      <c r="B20" s="24">
        <f t="shared" si="8"/>
        <v>40000</v>
      </c>
      <c r="C20" s="22">
        <f t="shared" si="3"/>
        <v>7495</v>
      </c>
      <c r="D20" s="23">
        <f t="shared" si="6"/>
        <v>0.18737500000000001</v>
      </c>
      <c r="E20" s="22">
        <f t="shared" si="0"/>
        <v>0</v>
      </c>
      <c r="F20" s="23">
        <f t="shared" si="4"/>
        <v>0</v>
      </c>
      <c r="G20" s="22">
        <f t="shared" si="7"/>
        <v>7495</v>
      </c>
      <c r="H20" s="23">
        <f t="shared" si="1"/>
        <v>0.18737500000000001</v>
      </c>
    </row>
    <row r="21" spans="2:8" x14ac:dyDescent="0.25">
      <c r="B21" s="24">
        <f t="shared" si="8"/>
        <v>45000</v>
      </c>
      <c r="C21" s="22">
        <f t="shared" si="3"/>
        <v>9155</v>
      </c>
      <c r="D21" s="23">
        <f t="shared" si="6"/>
        <v>0.20344444444444446</v>
      </c>
      <c r="E21" s="22">
        <f t="shared" si="0"/>
        <v>0</v>
      </c>
      <c r="F21" s="23">
        <f t="shared" si="4"/>
        <v>0</v>
      </c>
      <c r="G21" s="22">
        <f t="shared" si="7"/>
        <v>9155</v>
      </c>
      <c r="H21" s="23">
        <f t="shared" si="1"/>
        <v>0.20344444444444446</v>
      </c>
    </row>
    <row r="22" spans="2:8" x14ac:dyDescent="0.25">
      <c r="B22" s="24">
        <f t="shared" si="8"/>
        <v>50000</v>
      </c>
      <c r="C22" s="22">
        <f t="shared" si="3"/>
        <v>10906</v>
      </c>
      <c r="D22" s="23">
        <f t="shared" si="6"/>
        <v>0.21812000000000001</v>
      </c>
      <c r="E22" s="22">
        <f t="shared" si="0"/>
        <v>0</v>
      </c>
      <c r="F22" s="23">
        <f t="shared" si="4"/>
        <v>0</v>
      </c>
      <c r="G22" s="22">
        <f t="shared" si="7"/>
        <v>10906</v>
      </c>
      <c r="H22" s="23">
        <f t="shared" si="1"/>
        <v>0.21812000000000001</v>
      </c>
    </row>
    <row r="23" spans="2:8" x14ac:dyDescent="0.25">
      <c r="B23" s="24">
        <f>B22+10000</f>
        <v>60000</v>
      </c>
      <c r="C23" s="22">
        <f t="shared" si="3"/>
        <v>14680</v>
      </c>
      <c r="D23" s="23">
        <f t="shared" si="6"/>
        <v>0.24466666666666667</v>
      </c>
      <c r="E23" s="22">
        <f t="shared" si="0"/>
        <v>0</v>
      </c>
      <c r="F23" s="23">
        <f t="shared" si="4"/>
        <v>0</v>
      </c>
      <c r="G23" s="22">
        <f t="shared" si="7"/>
        <v>14680</v>
      </c>
      <c r="H23" s="23">
        <f t="shared" si="1"/>
        <v>0.24466666666666667</v>
      </c>
    </row>
    <row r="24" spans="2:8" x14ac:dyDescent="0.25">
      <c r="B24" s="24">
        <f>B23+10000</f>
        <v>70000</v>
      </c>
      <c r="C24" s="22">
        <f t="shared" si="3"/>
        <v>18797</v>
      </c>
      <c r="D24" s="23">
        <f t="shared" si="6"/>
        <v>0.26852857142857145</v>
      </c>
      <c r="E24" s="22">
        <f>IF(C24&lt;=18130,0,MIN((C24-18130)*11.9%,C24*5.5%))</f>
        <v>79.373000000000005</v>
      </c>
      <c r="F24" s="23">
        <f t="shared" si="4"/>
        <v>1.1339E-3</v>
      </c>
      <c r="G24" s="22">
        <f>E24+C24</f>
        <v>18876.373</v>
      </c>
      <c r="H24" s="23">
        <f>G24/B24</f>
        <v>0.26966247142857142</v>
      </c>
    </row>
    <row r="25" spans="2:8" x14ac:dyDescent="0.25">
      <c r="B25" s="24">
        <f>B24+10000</f>
        <v>80000</v>
      </c>
      <c r="C25" s="22">
        <f t="shared" si="3"/>
        <v>22997</v>
      </c>
      <c r="D25" s="23">
        <f t="shared" si="6"/>
        <v>0.28746250000000001</v>
      </c>
      <c r="E25" s="22">
        <f t="shared" ref="E25:E40" si="9">IF(C25&lt;=18130,0,MIN((C25-18130)*11.9%,C25*5.5%))</f>
        <v>579.173</v>
      </c>
      <c r="F25" s="23">
        <f t="shared" si="4"/>
        <v>7.2396624999999997E-3</v>
      </c>
      <c r="G25" s="22">
        <f t="shared" si="7"/>
        <v>23576.172999999999</v>
      </c>
      <c r="H25" s="23">
        <f t="shared" si="1"/>
        <v>0.29470216249999998</v>
      </c>
    </row>
    <row r="26" spans="2:8" x14ac:dyDescent="0.25">
      <c r="B26" s="24">
        <f>B25+10000</f>
        <v>90000</v>
      </c>
      <c r="C26" s="22">
        <f t="shared" si="3"/>
        <v>27197</v>
      </c>
      <c r="D26" s="23">
        <f t="shared" si="6"/>
        <v>0.3021888888888889</v>
      </c>
      <c r="E26" s="22">
        <f t="shared" si="9"/>
        <v>1078.9730000000002</v>
      </c>
      <c r="F26" s="23">
        <f t="shared" si="4"/>
        <v>1.1988588888888891E-2</v>
      </c>
      <c r="G26" s="22">
        <f t="shared" si="7"/>
        <v>28275.973000000002</v>
      </c>
      <c r="H26" s="23">
        <f t="shared" si="1"/>
        <v>0.31417747777777782</v>
      </c>
    </row>
    <row r="27" spans="2:8" x14ac:dyDescent="0.25">
      <c r="B27" s="24">
        <f>B26+10000</f>
        <v>100000</v>
      </c>
      <c r="C27" s="22">
        <f t="shared" si="3"/>
        <v>31397</v>
      </c>
      <c r="D27" s="23">
        <f t="shared" si="6"/>
        <v>0.31397000000000003</v>
      </c>
      <c r="E27" s="22">
        <f t="shared" si="9"/>
        <v>1578.7730000000001</v>
      </c>
      <c r="F27" s="23">
        <f t="shared" si="4"/>
        <v>1.578773E-2</v>
      </c>
      <c r="G27" s="22">
        <f t="shared" si="7"/>
        <v>32975.773000000001</v>
      </c>
      <c r="H27" s="23">
        <f t="shared" si="1"/>
        <v>0.32975773000000003</v>
      </c>
    </row>
    <row r="28" spans="2:8" x14ac:dyDescent="0.25">
      <c r="B28" s="24">
        <f t="shared" ref="B28:B35" si="10">B27+50000</f>
        <v>150000</v>
      </c>
      <c r="C28" s="22">
        <f t="shared" si="3"/>
        <v>52397</v>
      </c>
      <c r="D28" s="23">
        <f t="shared" si="6"/>
        <v>0.34931333333333331</v>
      </c>
      <c r="E28" s="22">
        <f t="shared" si="9"/>
        <v>2881.835</v>
      </c>
      <c r="F28" s="23">
        <f t="shared" si="4"/>
        <v>1.9212233333333332E-2</v>
      </c>
      <c r="G28" s="22">
        <f t="shared" si="7"/>
        <v>55278.834999999999</v>
      </c>
      <c r="H28" s="23">
        <f t="shared" si="1"/>
        <v>0.36852556666666664</v>
      </c>
    </row>
    <row r="29" spans="2:8" x14ac:dyDescent="0.25">
      <c r="B29" s="24">
        <f t="shared" si="10"/>
        <v>200000</v>
      </c>
      <c r="C29" s="22">
        <f t="shared" si="3"/>
        <v>73397</v>
      </c>
      <c r="D29" s="23">
        <f t="shared" si="6"/>
        <v>0.36698500000000001</v>
      </c>
      <c r="E29" s="22">
        <f t="shared" si="9"/>
        <v>4036.835</v>
      </c>
      <c r="F29" s="23">
        <f t="shared" si="4"/>
        <v>2.0184174999999999E-2</v>
      </c>
      <c r="G29" s="22">
        <f t="shared" si="7"/>
        <v>77433.835000000006</v>
      </c>
      <c r="H29" s="23">
        <f t="shared" si="1"/>
        <v>0.38716917500000003</v>
      </c>
    </row>
    <row r="30" spans="2:8" x14ac:dyDescent="0.25">
      <c r="B30" s="24">
        <f t="shared" si="10"/>
        <v>250000</v>
      </c>
      <c r="C30" s="22">
        <f t="shared" si="3"/>
        <v>94397</v>
      </c>
      <c r="D30" s="23">
        <f t="shared" si="6"/>
        <v>0.37758799999999998</v>
      </c>
      <c r="E30" s="22">
        <f t="shared" si="9"/>
        <v>5191.835</v>
      </c>
      <c r="F30" s="23">
        <f t="shared" si="4"/>
        <v>2.0767339999999999E-2</v>
      </c>
      <c r="G30" s="22">
        <f t="shared" si="7"/>
        <v>99588.835000000006</v>
      </c>
      <c r="H30" s="23">
        <f t="shared" si="1"/>
        <v>0.39835534</v>
      </c>
    </row>
    <row r="31" spans="2:8" x14ac:dyDescent="0.25">
      <c r="B31" s="24">
        <f t="shared" si="10"/>
        <v>300000</v>
      </c>
      <c r="C31" s="22">
        <f t="shared" si="3"/>
        <v>116063</v>
      </c>
      <c r="D31" s="23">
        <f t="shared" si="6"/>
        <v>0.38687666666666665</v>
      </c>
      <c r="E31" s="22">
        <f t="shared" si="9"/>
        <v>6383.4650000000001</v>
      </c>
      <c r="F31" s="23">
        <f t="shared" si="4"/>
        <v>2.1278216666666665E-2</v>
      </c>
      <c r="G31" s="22">
        <f t="shared" si="7"/>
        <v>122446.465</v>
      </c>
      <c r="H31" s="23">
        <f t="shared" si="1"/>
        <v>0.40815488333333333</v>
      </c>
    </row>
    <row r="32" spans="2:8" x14ac:dyDescent="0.25">
      <c r="B32" s="24">
        <f t="shared" si="10"/>
        <v>350000</v>
      </c>
      <c r="C32" s="22">
        <f t="shared" si="3"/>
        <v>138563</v>
      </c>
      <c r="D32" s="23">
        <f t="shared" si="6"/>
        <v>0.3958942857142857</v>
      </c>
      <c r="E32" s="22">
        <f t="shared" si="9"/>
        <v>7620.9650000000001</v>
      </c>
      <c r="F32" s="23">
        <f t="shared" si="4"/>
        <v>2.1774185714285715E-2</v>
      </c>
      <c r="G32" s="22">
        <f t="shared" si="7"/>
        <v>146183.965</v>
      </c>
      <c r="H32" s="23">
        <f t="shared" si="1"/>
        <v>0.41766847142857144</v>
      </c>
    </row>
    <row r="33" spans="2:8" x14ac:dyDescent="0.25">
      <c r="B33" s="24">
        <f t="shared" si="10"/>
        <v>400000</v>
      </c>
      <c r="C33" s="22">
        <f t="shared" si="3"/>
        <v>161063</v>
      </c>
      <c r="D33" s="23">
        <f t="shared" si="6"/>
        <v>0.4026575</v>
      </c>
      <c r="E33" s="22">
        <f t="shared" si="9"/>
        <v>8858.4650000000001</v>
      </c>
      <c r="F33" s="23">
        <f t="shared" si="4"/>
        <v>2.21461625E-2</v>
      </c>
      <c r="G33" s="22">
        <f t="shared" si="7"/>
        <v>169921.465</v>
      </c>
      <c r="H33" s="23">
        <f t="shared" si="1"/>
        <v>0.42480366250000001</v>
      </c>
    </row>
    <row r="34" spans="2:8" x14ac:dyDescent="0.25">
      <c r="B34" s="24">
        <f t="shared" si="10"/>
        <v>450000</v>
      </c>
      <c r="C34" s="22">
        <f t="shared" si="3"/>
        <v>183563</v>
      </c>
      <c r="D34" s="23">
        <f t="shared" si="6"/>
        <v>0.40791777777777777</v>
      </c>
      <c r="E34" s="22">
        <f t="shared" si="9"/>
        <v>10095.965</v>
      </c>
      <c r="F34" s="23">
        <f t="shared" si="4"/>
        <v>2.2435477777777778E-2</v>
      </c>
      <c r="G34" s="22">
        <f t="shared" si="7"/>
        <v>193658.965</v>
      </c>
      <c r="H34" s="23">
        <f t="shared" si="1"/>
        <v>0.43035325555555554</v>
      </c>
    </row>
    <row r="35" spans="2:8" x14ac:dyDescent="0.25">
      <c r="B35" s="24">
        <f t="shared" si="10"/>
        <v>500000</v>
      </c>
      <c r="C35" s="22">
        <f t="shared" si="3"/>
        <v>206063</v>
      </c>
      <c r="D35" s="23">
        <f t="shared" si="6"/>
        <v>0.41212599999999999</v>
      </c>
      <c r="E35" s="22">
        <f t="shared" si="9"/>
        <v>11333.465</v>
      </c>
      <c r="F35" s="23">
        <f t="shared" si="4"/>
        <v>2.2666930000000002E-2</v>
      </c>
      <c r="G35" s="22">
        <f t="shared" si="7"/>
        <v>217396.465</v>
      </c>
      <c r="H35" s="23">
        <f t="shared" si="1"/>
        <v>0.43479292999999997</v>
      </c>
    </row>
    <row r="36" spans="2:8" x14ac:dyDescent="0.25">
      <c r="B36" s="24">
        <f>B35+100000</f>
        <v>600000</v>
      </c>
      <c r="C36" s="22">
        <f t="shared" si="3"/>
        <v>251063</v>
      </c>
      <c r="D36" s="23">
        <f t="shared" si="6"/>
        <v>0.41843833333333336</v>
      </c>
      <c r="E36" s="22">
        <f t="shared" si="9"/>
        <v>13808.465</v>
      </c>
      <c r="F36" s="23">
        <f t="shared" si="4"/>
        <v>2.3014108333333335E-2</v>
      </c>
      <c r="G36" s="22">
        <f t="shared" si="7"/>
        <v>264871.46500000003</v>
      </c>
      <c r="H36" s="23">
        <f t="shared" si="1"/>
        <v>0.4414524416666667</v>
      </c>
    </row>
    <row r="37" spans="2:8" x14ac:dyDescent="0.25">
      <c r="B37" s="24">
        <f>B36+100000</f>
        <v>700000</v>
      </c>
      <c r="C37" s="22">
        <f t="shared" si="3"/>
        <v>296063</v>
      </c>
      <c r="D37" s="23">
        <f t="shared" si="6"/>
        <v>0.42294714285714285</v>
      </c>
      <c r="E37" s="22">
        <f t="shared" si="9"/>
        <v>16283.465</v>
      </c>
      <c r="F37" s="23">
        <f t="shared" si="4"/>
        <v>2.3262092857142858E-2</v>
      </c>
      <c r="G37" s="22">
        <f t="shared" si="7"/>
        <v>312346.46500000003</v>
      </c>
      <c r="H37" s="23">
        <f t="shared" si="1"/>
        <v>0.44620923571428572</v>
      </c>
    </row>
    <row r="38" spans="2:8" x14ac:dyDescent="0.25">
      <c r="B38" s="24">
        <f>B37+100000</f>
        <v>800000</v>
      </c>
      <c r="C38" s="22">
        <f t="shared" si="3"/>
        <v>341063</v>
      </c>
      <c r="D38" s="23">
        <f t="shared" si="6"/>
        <v>0.42632874999999998</v>
      </c>
      <c r="E38" s="22">
        <f t="shared" si="9"/>
        <v>18758.465</v>
      </c>
      <c r="F38" s="23">
        <f t="shared" si="4"/>
        <v>2.3448081249999999E-2</v>
      </c>
      <c r="G38" s="22">
        <f t="shared" si="7"/>
        <v>359821.46500000003</v>
      </c>
      <c r="H38" s="23">
        <f t="shared" si="1"/>
        <v>0.44977683125000001</v>
      </c>
    </row>
    <row r="39" spans="2:8" x14ac:dyDescent="0.25">
      <c r="B39" s="24">
        <f>B38+100000</f>
        <v>900000</v>
      </c>
      <c r="C39" s="22">
        <f t="shared" si="3"/>
        <v>386063</v>
      </c>
      <c r="D39" s="23">
        <f t="shared" si="6"/>
        <v>0.42895888888888889</v>
      </c>
      <c r="E39" s="22">
        <f t="shared" si="9"/>
        <v>21233.465</v>
      </c>
      <c r="F39" s="23">
        <f t="shared" si="4"/>
        <v>2.3592738888888888E-2</v>
      </c>
      <c r="G39" s="22">
        <f t="shared" si="7"/>
        <v>407296.46500000003</v>
      </c>
      <c r="H39" s="23">
        <f t="shared" si="1"/>
        <v>0.4525516277777778</v>
      </c>
    </row>
    <row r="40" spans="2:8" x14ac:dyDescent="0.25">
      <c r="B40" s="24">
        <f>B39+100000</f>
        <v>1000000</v>
      </c>
      <c r="C40" s="22">
        <f t="shared" si="3"/>
        <v>431063</v>
      </c>
      <c r="D40" s="23">
        <f t="shared" si="6"/>
        <v>0.43106299999999997</v>
      </c>
      <c r="E40" s="22">
        <f t="shared" si="9"/>
        <v>23708.465</v>
      </c>
      <c r="F40" s="23">
        <f t="shared" si="4"/>
        <v>2.3708465000000001E-2</v>
      </c>
      <c r="G40" s="22">
        <f t="shared" si="7"/>
        <v>454771.46500000003</v>
      </c>
      <c r="H40" s="23">
        <f t="shared" si="1"/>
        <v>0.45477146500000004</v>
      </c>
    </row>
  </sheetData>
  <mergeCells count="3">
    <mergeCell ref="C4:D4"/>
    <mergeCell ref="E4:F4"/>
    <mergeCell ref="G4:H4"/>
  </mergeCells>
  <conditionalFormatting sqref="B6:H40">
    <cfRule type="expression" dxfId="10" priority="1">
      <formula>MOD(ROW(),2)=0</formula>
    </cfRule>
  </conditionalFormatting>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203c81f-7199-4b0a-964b-a19ec6ca7a4a" xsi:nil="true"/>
    <lcf76f155ced4ddcb4097134ff3c332f xmlns="e567f292-d08d-49fa-9e56-e509361198d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BC9610E91D568498C68CD6EF80B5CD2" ma:contentTypeVersion="15" ma:contentTypeDescription="Ein neues Dokument erstellen." ma:contentTypeScope="" ma:versionID="4572f021cdaeaac1bb6854a1fcdcfea9">
  <xsd:schema xmlns:xsd="http://www.w3.org/2001/XMLSchema" xmlns:xs="http://www.w3.org/2001/XMLSchema" xmlns:p="http://schemas.microsoft.com/office/2006/metadata/properties" xmlns:ns2="6203c81f-7199-4b0a-964b-a19ec6ca7a4a" xmlns:ns3="e567f292-d08d-49fa-9e56-e509361198d4" targetNamespace="http://schemas.microsoft.com/office/2006/metadata/properties" ma:root="true" ma:fieldsID="31701f476d2be9ebc07652081b8460ba" ns2:_="" ns3:_="">
    <xsd:import namespace="6203c81f-7199-4b0a-964b-a19ec6ca7a4a"/>
    <xsd:import namespace="e567f292-d08d-49fa-9e56-e509361198d4"/>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3c81f-7199-4b0a-964b-a19ec6ca7a4a"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2" nillable="true" ma:displayName="Taxonomy Catch All Column" ma:hidden="true" ma:list="{b6c72af2-3ea5-423c-b227-6142167e564a}" ma:internalName="TaxCatchAll" ma:showField="CatchAllData" ma:web="6203c81f-7199-4b0a-964b-a19ec6ca7a4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67f292-d08d-49fa-9e56-e509361198d4"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c96865e6-ea0d-4a35-a25b-ba3167e8c755"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3F6367-D62C-4D8C-99B1-18B6ACBF5310}">
  <ds:schemaRefs>
    <ds:schemaRef ds:uri="http://schemas.microsoft.com/office/2006/metadata/properties"/>
    <ds:schemaRef ds:uri="http://schemas.microsoft.com/office/infopath/2007/PartnerControls"/>
    <ds:schemaRef ds:uri="6203c81f-7199-4b0a-964b-a19ec6ca7a4a"/>
    <ds:schemaRef ds:uri="e567f292-d08d-49fa-9e56-e509361198d4"/>
  </ds:schemaRefs>
</ds:datastoreItem>
</file>

<file path=customXml/itemProps2.xml><?xml version="1.0" encoding="utf-8"?>
<ds:datastoreItem xmlns:ds="http://schemas.openxmlformats.org/officeDocument/2006/customXml" ds:itemID="{9FC6E079-4455-47CC-8BBB-5AB8D80C7FEB}">
  <ds:schemaRefs>
    <ds:schemaRef ds:uri="http://schemas.microsoft.com/sharepoint/v3/contenttype/forms"/>
  </ds:schemaRefs>
</ds:datastoreItem>
</file>

<file path=customXml/itemProps3.xml><?xml version="1.0" encoding="utf-8"?>
<ds:datastoreItem xmlns:ds="http://schemas.openxmlformats.org/officeDocument/2006/customXml" ds:itemID="{410C7381-1ADC-4B23-876C-01A814346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3c81f-7199-4b0a-964b-a19ec6ca7a4a"/>
    <ds:schemaRef ds:uri="e567f292-d08d-49fa-9e56-e509361198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Berechnung</vt:lpstr>
      <vt:lpstr>Kaufpreisliste</vt:lpstr>
      <vt:lpstr>Tabelle3</vt:lpstr>
      <vt:lpstr>Berechnung!Druckbereich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Bauer</dc:creator>
  <cp:lastModifiedBy>Christoph Bauer</cp:lastModifiedBy>
  <cp:lastPrinted>2024-11-25T14:14:44Z</cp:lastPrinted>
  <dcterms:created xsi:type="dcterms:W3CDTF">2024-11-13T14:49:36Z</dcterms:created>
  <dcterms:modified xsi:type="dcterms:W3CDTF">2024-12-13T11:57:26Z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0x0101002BC9610E91D568498C68CD6EF80B5CD2</vt:lpwstr>
  </property>
  <property fmtid="{D5CDD505-2E9C-101B-9397-08002B2CF9AE}" pid="3" name="MediaServiceImageTags">
    <vt:lpwstr/>
  </property>
</Properties>
</file>